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s\Documents\AUK 2020\"/>
    </mc:Choice>
  </mc:AlternateContent>
  <xr:revisionPtr revIDLastSave="0" documentId="13_ncr:1_{5CF9CEA4-1332-4879-AA80-0BE60FAB587D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K86" i="1" l="1"/>
  <c r="J86" i="1"/>
  <c r="D22" i="1"/>
  <c r="D19" i="1"/>
  <c r="D24" i="1" l="1"/>
  <c r="E74" i="1"/>
  <c r="D66" i="1"/>
  <c r="D57" i="1"/>
  <c r="G57" i="1"/>
  <c r="H57" i="1"/>
  <c r="L57" i="1"/>
  <c r="P57" i="1"/>
  <c r="F71" i="1"/>
  <c r="I71" i="1"/>
  <c r="L71" i="1"/>
  <c r="P71" i="1"/>
  <c r="F59" i="1"/>
  <c r="I59" i="1"/>
  <c r="L59" i="1"/>
  <c r="P59" i="1"/>
  <c r="F52" i="1"/>
  <c r="F53" i="1"/>
  <c r="F54" i="1"/>
  <c r="F55" i="1"/>
  <c r="F56" i="1"/>
  <c r="F60" i="1"/>
  <c r="F61" i="1"/>
  <c r="F62" i="1"/>
  <c r="F63" i="1"/>
  <c r="F64" i="1"/>
  <c r="F65" i="1"/>
  <c r="F68" i="1"/>
  <c r="F72" i="1"/>
  <c r="F73" i="1"/>
  <c r="F74" i="1"/>
  <c r="F75" i="1"/>
  <c r="F76" i="1"/>
  <c r="F78" i="1"/>
  <c r="F79" i="1"/>
  <c r="F25" i="1"/>
  <c r="F23" i="1"/>
  <c r="F22" i="1"/>
  <c r="F19" i="1"/>
  <c r="D21" i="1"/>
  <c r="F21" i="1" s="1"/>
  <c r="D20" i="1"/>
  <c r="F20" i="1" s="1"/>
  <c r="F24" i="1"/>
  <c r="M86" i="1"/>
  <c r="N86" i="1"/>
  <c r="O86" i="1"/>
  <c r="E85" i="1"/>
  <c r="D85" i="1"/>
  <c r="D15" i="1"/>
  <c r="P81" i="1"/>
  <c r="L81" i="1"/>
  <c r="F82" i="1"/>
  <c r="I82" i="1"/>
  <c r="L82" i="1"/>
  <c r="P82" i="1"/>
  <c r="E77" i="1"/>
  <c r="E67" i="1"/>
  <c r="E81" i="1" s="1"/>
  <c r="D77" i="1"/>
  <c r="D67" i="1"/>
  <c r="E51" i="1"/>
  <c r="F51" i="1" s="1"/>
  <c r="D39" i="1"/>
  <c r="F39" i="1" s="1"/>
  <c r="D35" i="1"/>
  <c r="F35" i="1" s="1"/>
  <c r="D34" i="1"/>
  <c r="F34" i="1" s="1"/>
  <c r="F84" i="1"/>
  <c r="E49" i="1"/>
  <c r="D49" i="1"/>
  <c r="F48" i="1"/>
  <c r="F47" i="1"/>
  <c r="F46" i="1"/>
  <c r="E44" i="1"/>
  <c r="F43" i="1"/>
  <c r="F42" i="1"/>
  <c r="F41" i="1"/>
  <c r="F40" i="1"/>
  <c r="F38" i="1"/>
  <c r="F32" i="1"/>
  <c r="F31" i="1"/>
  <c r="E36" i="1"/>
  <c r="F29" i="1"/>
  <c r="F28" i="1"/>
  <c r="E26" i="1"/>
  <c r="F14" i="1"/>
  <c r="F13" i="1"/>
  <c r="E15" i="1"/>
  <c r="F11" i="1"/>
  <c r="F10" i="1"/>
  <c r="D6" i="1"/>
  <c r="F6" i="1" s="1"/>
  <c r="E8" i="1"/>
  <c r="P85" i="1"/>
  <c r="P84" i="1"/>
  <c r="P83" i="1"/>
  <c r="P79" i="1"/>
  <c r="P78" i="1"/>
  <c r="P77" i="1"/>
  <c r="P76" i="1"/>
  <c r="P75" i="1"/>
  <c r="P74" i="1"/>
  <c r="P73" i="1"/>
  <c r="P72" i="1"/>
  <c r="P70" i="1"/>
  <c r="P69" i="1"/>
  <c r="P68" i="1"/>
  <c r="P67" i="1"/>
  <c r="P66" i="1"/>
  <c r="P65" i="1"/>
  <c r="P64" i="1"/>
  <c r="P63" i="1"/>
  <c r="P62" i="1"/>
  <c r="P61" i="1"/>
  <c r="P60" i="1"/>
  <c r="P58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L9" i="1"/>
  <c r="M9" i="1" s="1"/>
  <c r="L10" i="1"/>
  <c r="L11" i="1"/>
  <c r="L12" i="1"/>
  <c r="L13" i="1"/>
  <c r="L14" i="1"/>
  <c r="L15" i="1"/>
  <c r="L16" i="1"/>
  <c r="M16" i="1" s="1"/>
  <c r="L17" i="1"/>
  <c r="L18" i="1"/>
  <c r="L19" i="1"/>
  <c r="L20" i="1"/>
  <c r="L21" i="1"/>
  <c r="L22" i="1"/>
  <c r="L23" i="1"/>
  <c r="L24" i="1"/>
  <c r="L25" i="1"/>
  <c r="L26" i="1"/>
  <c r="L27" i="1"/>
  <c r="M27" i="1" s="1"/>
  <c r="L28" i="1"/>
  <c r="L29" i="1"/>
  <c r="L30" i="1"/>
  <c r="L31" i="1"/>
  <c r="L32" i="1"/>
  <c r="L33" i="1"/>
  <c r="L34" i="1"/>
  <c r="L35" i="1"/>
  <c r="L36" i="1"/>
  <c r="L37" i="1"/>
  <c r="M37" i="1" s="1"/>
  <c r="L38" i="1"/>
  <c r="L39" i="1"/>
  <c r="L40" i="1"/>
  <c r="L41" i="1"/>
  <c r="L42" i="1"/>
  <c r="L43" i="1"/>
  <c r="L44" i="1"/>
  <c r="L45" i="1"/>
  <c r="M45" i="1" s="1"/>
  <c r="L46" i="1"/>
  <c r="L47" i="1"/>
  <c r="L48" i="1"/>
  <c r="L49" i="1"/>
  <c r="L50" i="1"/>
  <c r="M50" i="1" s="1"/>
  <c r="L51" i="1"/>
  <c r="L52" i="1"/>
  <c r="L53" i="1"/>
  <c r="L54" i="1"/>
  <c r="L55" i="1"/>
  <c r="L56" i="1"/>
  <c r="L58" i="1"/>
  <c r="L60" i="1"/>
  <c r="L61" i="1"/>
  <c r="L62" i="1"/>
  <c r="L63" i="1"/>
  <c r="L64" i="1"/>
  <c r="L65" i="1"/>
  <c r="L66" i="1"/>
  <c r="L67" i="1"/>
  <c r="L68" i="1"/>
  <c r="L69" i="1"/>
  <c r="M69" i="1" s="1"/>
  <c r="L70" i="1"/>
  <c r="M70" i="1" s="1"/>
  <c r="L72" i="1"/>
  <c r="L73" i="1"/>
  <c r="L74" i="1"/>
  <c r="L75" i="1"/>
  <c r="L76" i="1"/>
  <c r="L77" i="1"/>
  <c r="L78" i="1"/>
  <c r="L79" i="1"/>
  <c r="L86" i="1" s="1"/>
  <c r="L83" i="1"/>
  <c r="L84" i="1"/>
  <c r="L85" i="1"/>
  <c r="L6" i="1"/>
  <c r="L7" i="1"/>
  <c r="L8" i="1"/>
  <c r="L5" i="1"/>
  <c r="E57" i="1" l="1"/>
  <c r="F67" i="1"/>
  <c r="F57" i="1"/>
  <c r="M59" i="1"/>
  <c r="M71" i="1"/>
  <c r="F77" i="1"/>
  <c r="D81" i="1"/>
  <c r="F66" i="1"/>
  <c r="F26" i="1"/>
  <c r="M82" i="1"/>
  <c r="D44" i="1"/>
  <c r="F49" i="1"/>
  <c r="F44" i="1"/>
  <c r="D36" i="1"/>
  <c r="F30" i="1"/>
  <c r="F5" i="1"/>
  <c r="D8" i="1"/>
  <c r="F7" i="1"/>
  <c r="F12" i="1"/>
  <c r="F15" i="1" s="1"/>
  <c r="F33" i="1"/>
  <c r="F83" i="1"/>
  <c r="F85" i="1" s="1"/>
  <c r="P86" i="1"/>
  <c r="D26" i="1"/>
  <c r="D86" i="1" s="1"/>
  <c r="D87" i="1" l="1"/>
  <c r="F81" i="1"/>
  <c r="E86" i="1"/>
  <c r="E87" i="1" s="1"/>
  <c r="F36" i="1"/>
  <c r="F8" i="1"/>
  <c r="F86" i="1" l="1"/>
  <c r="F87" i="1"/>
  <c r="I88" i="1"/>
  <c r="H44" i="1"/>
  <c r="G44" i="1"/>
  <c r="H83" i="1"/>
  <c r="H85" i="1" s="1"/>
  <c r="I31" i="1"/>
  <c r="M31" i="1" s="1"/>
  <c r="H19" i="1"/>
  <c r="H26" i="1" s="1"/>
  <c r="I23" i="1"/>
  <c r="M23" i="1" s="1"/>
  <c r="I25" i="1"/>
  <c r="M25" i="1" s="1"/>
  <c r="G24" i="1"/>
  <c r="I24" i="1" s="1"/>
  <c r="M24" i="1" s="1"/>
  <c r="H12" i="1"/>
  <c r="H15" i="1" s="1"/>
  <c r="G65" i="1"/>
  <c r="G81" i="1" s="1"/>
  <c r="H21" i="1"/>
  <c r="G83" i="1"/>
  <c r="G85" i="1" s="1"/>
  <c r="I72" i="1"/>
  <c r="M72" i="1" s="1"/>
  <c r="I73" i="1"/>
  <c r="M73" i="1" s="1"/>
  <c r="I74" i="1"/>
  <c r="M74" i="1" s="1"/>
  <c r="I75" i="1"/>
  <c r="M75" i="1" s="1"/>
  <c r="I76" i="1"/>
  <c r="M76" i="1" s="1"/>
  <c r="I77" i="1"/>
  <c r="I78" i="1"/>
  <c r="M78" i="1" s="1"/>
  <c r="I79" i="1"/>
  <c r="M79" i="1" s="1"/>
  <c r="I84" i="1"/>
  <c r="M84" i="1" s="1"/>
  <c r="I66" i="1"/>
  <c r="M66" i="1" s="1"/>
  <c r="I67" i="1"/>
  <c r="M67" i="1" s="1"/>
  <c r="I68" i="1"/>
  <c r="M68" i="1" s="1"/>
  <c r="H65" i="1"/>
  <c r="H81" i="1" s="1"/>
  <c r="I43" i="1"/>
  <c r="M43" i="1" s="1"/>
  <c r="H30" i="1"/>
  <c r="I30" i="1" s="1"/>
  <c r="M30" i="1" s="1"/>
  <c r="H29" i="1"/>
  <c r="G33" i="1"/>
  <c r="H33" i="1"/>
  <c r="G35" i="1"/>
  <c r="G34" i="1"/>
  <c r="H32" i="1"/>
  <c r="I32" i="1" s="1"/>
  <c r="M32" i="1" s="1"/>
  <c r="H34" i="1"/>
  <c r="I38" i="1"/>
  <c r="M38" i="1" s="1"/>
  <c r="I39" i="1"/>
  <c r="M39" i="1" s="1"/>
  <c r="I40" i="1"/>
  <c r="M40" i="1" s="1"/>
  <c r="G21" i="1"/>
  <c r="G22" i="1"/>
  <c r="I22" i="1" s="1"/>
  <c r="M22" i="1" s="1"/>
  <c r="G20" i="1"/>
  <c r="I20" i="1" s="1"/>
  <c r="M20" i="1" s="1"/>
  <c r="G19" i="1"/>
  <c r="H5" i="1"/>
  <c r="H8" i="1" s="1"/>
  <c r="G6" i="1"/>
  <c r="I6" i="1" s="1"/>
  <c r="M6" i="1" s="1"/>
  <c r="G7" i="1"/>
  <c r="I7" i="1" s="1"/>
  <c r="M7" i="1" s="1"/>
  <c r="I64" i="1"/>
  <c r="M64" i="1" s="1"/>
  <c r="I63" i="1"/>
  <c r="M63" i="1" s="1"/>
  <c r="I62" i="1"/>
  <c r="M62" i="1" s="1"/>
  <c r="I61" i="1"/>
  <c r="M61" i="1" s="1"/>
  <c r="I60" i="1"/>
  <c r="M60" i="1" s="1"/>
  <c r="I58" i="1"/>
  <c r="I56" i="1"/>
  <c r="M56" i="1" s="1"/>
  <c r="I55" i="1"/>
  <c r="M55" i="1" s="1"/>
  <c r="I54" i="1"/>
  <c r="M54" i="1" s="1"/>
  <c r="I53" i="1"/>
  <c r="M53" i="1" s="1"/>
  <c r="I52" i="1"/>
  <c r="M52" i="1" s="1"/>
  <c r="I51" i="1"/>
  <c r="H49" i="1"/>
  <c r="G49" i="1"/>
  <c r="I48" i="1"/>
  <c r="M48" i="1" s="1"/>
  <c r="I47" i="1"/>
  <c r="M47" i="1" s="1"/>
  <c r="I46" i="1"/>
  <c r="M46" i="1" s="1"/>
  <c r="I42" i="1"/>
  <c r="M42" i="1" s="1"/>
  <c r="I41" i="1"/>
  <c r="M41" i="1" s="1"/>
  <c r="I28" i="1"/>
  <c r="M28" i="1" s="1"/>
  <c r="I18" i="1"/>
  <c r="M18" i="1" s="1"/>
  <c r="I17" i="1"/>
  <c r="M17" i="1" s="1"/>
  <c r="I14" i="1"/>
  <c r="M14" i="1" s="1"/>
  <c r="I11" i="1"/>
  <c r="M11" i="1" s="1"/>
  <c r="I10" i="1"/>
  <c r="M10" i="1" s="1"/>
  <c r="M51" i="1" l="1"/>
  <c r="I57" i="1"/>
  <c r="M58" i="1"/>
  <c r="M77" i="1"/>
  <c r="I83" i="1"/>
  <c r="G26" i="1"/>
  <c r="G36" i="1"/>
  <c r="H36" i="1"/>
  <c r="H86" i="1" s="1"/>
  <c r="I34" i="1"/>
  <c r="M34" i="1" s="1"/>
  <c r="I21" i="1"/>
  <c r="M21" i="1" s="1"/>
  <c r="I33" i="1"/>
  <c r="M33" i="1" s="1"/>
  <c r="I29" i="1"/>
  <c r="M29" i="1" s="1"/>
  <c r="I19" i="1"/>
  <c r="M19" i="1" s="1"/>
  <c r="G5" i="1"/>
  <c r="G8" i="1" s="1"/>
  <c r="I65" i="1"/>
  <c r="M65" i="1" s="1"/>
  <c r="I44" i="1"/>
  <c r="I35" i="1"/>
  <c r="M35" i="1" s="1"/>
  <c r="I49" i="1"/>
  <c r="I12" i="1"/>
  <c r="M12" i="1" s="1"/>
  <c r="I13" i="1"/>
  <c r="M13" i="1" s="1"/>
  <c r="I81" i="1" l="1"/>
  <c r="M83" i="1"/>
  <c r="I85" i="1"/>
  <c r="G86" i="1"/>
  <c r="G87" i="1" s="1"/>
  <c r="I26" i="1"/>
  <c r="H87" i="1"/>
  <c r="I36" i="1"/>
  <c r="I5" i="1"/>
  <c r="I15" i="1"/>
  <c r="I8" i="1" l="1"/>
  <c r="I86" i="1" s="1"/>
  <c r="M5" i="1"/>
  <c r="I87" i="1"/>
  <c r="I89" i="1" s="1"/>
  <c r="F88" i="1" l="1"/>
  <c r="F89" i="1" s="1"/>
  <c r="C8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Jonny Paulsen</author>
  </authors>
  <commentList>
    <comment ref="E5" authorId="0" shapeId="0" xr:uid="{F3F689E0-C4A7-4972-A845-6892763D3880}">
      <text>
        <r>
          <rPr>
            <b/>
            <sz val="9"/>
            <color indexed="81"/>
            <rFont val="Tahoma"/>
            <family val="2"/>
          </rPr>
          <t>Jonny Paulsen:</t>
        </r>
        <r>
          <rPr>
            <sz val="9"/>
            <color indexed="81"/>
            <rFont val="Tahoma"/>
            <family val="2"/>
          </rPr>
          <t xml:space="preserve">
Kontigent og avgift pr regning</t>
        </r>
      </text>
    </comment>
    <comment ref="H5" authorId="0" shapeId="0" xr:uid="{F0184F2F-21BD-47A9-A2DC-454E6DA9D76D}">
      <text>
        <r>
          <rPr>
            <b/>
            <sz val="9"/>
            <color indexed="81"/>
            <rFont val="Tahoma"/>
            <family val="2"/>
          </rPr>
          <t>Jonny Paulsen:</t>
        </r>
        <r>
          <rPr>
            <sz val="9"/>
            <color indexed="81"/>
            <rFont val="Tahoma"/>
            <family val="2"/>
          </rPr>
          <t xml:space="preserve">
Kontigent og avgift pr regning</t>
        </r>
      </text>
    </comment>
    <comment ref="D83" authorId="0" shapeId="0" xr:uid="{16F3E898-285C-4CD1-AEF4-64A34BC58B4F}">
      <text>
        <r>
          <rPr>
            <b/>
            <sz val="9"/>
            <color indexed="81"/>
            <rFont val="Tahoma"/>
            <family val="2"/>
          </rPr>
          <t>Jonny Paulsen:</t>
        </r>
        <r>
          <rPr>
            <sz val="9"/>
            <color indexed="81"/>
            <rFont val="Tahoma"/>
            <family val="2"/>
          </rPr>
          <t xml:space="preserve">
Vocher for treff 2021</t>
        </r>
      </text>
    </comment>
    <comment ref="G83" authorId="0" shapeId="0" xr:uid="{3E3A48FF-1657-4E4E-B639-FB6EF3FD6E3F}">
      <text>
        <r>
          <rPr>
            <b/>
            <sz val="9"/>
            <color indexed="81"/>
            <rFont val="Tahoma"/>
            <family val="2"/>
          </rPr>
          <t>Jonny Paulsen:</t>
        </r>
        <r>
          <rPr>
            <sz val="9"/>
            <color indexed="81"/>
            <rFont val="Tahoma"/>
            <family val="2"/>
          </rPr>
          <t xml:space="preserve">
Vocher for treff 2021</t>
        </r>
      </text>
    </comment>
  </commentList>
</comments>
</file>

<file path=xl/sharedStrings.xml><?xml version="1.0" encoding="utf-8"?>
<sst xmlns="http://schemas.openxmlformats.org/spreadsheetml/2006/main" count="100" uniqueCount="89">
  <si>
    <t>Drift</t>
  </si>
  <si>
    <t>Note</t>
  </si>
  <si>
    <t>Kontingent</t>
  </si>
  <si>
    <t>Dugnad</t>
  </si>
  <si>
    <t>Renter</t>
  </si>
  <si>
    <t>Diverse</t>
  </si>
  <si>
    <t>Kompressor</t>
  </si>
  <si>
    <t>Forsikringer</t>
  </si>
  <si>
    <t>Driftsresultat</t>
  </si>
  <si>
    <t>Inntekter</t>
  </si>
  <si>
    <t>Utgifter</t>
  </si>
  <si>
    <t>Netto</t>
  </si>
  <si>
    <t>Båt</t>
  </si>
  <si>
    <t>Kurs</t>
  </si>
  <si>
    <t>Luftmedlem</t>
  </si>
  <si>
    <t>Finans</t>
  </si>
  <si>
    <t>UVR</t>
  </si>
  <si>
    <t>SMS/WEB/IT</t>
  </si>
  <si>
    <t>Fridykking</t>
  </si>
  <si>
    <t>Dykkerutstyr</t>
  </si>
  <si>
    <t>Endring</t>
  </si>
  <si>
    <t>Ledersamling/Dykketing NDF</t>
  </si>
  <si>
    <t>Instruktørutdanning</t>
  </si>
  <si>
    <t>Båthenger</t>
  </si>
  <si>
    <t>Regnskap 2018</t>
  </si>
  <si>
    <t>B/R</t>
  </si>
  <si>
    <t>Div prosjekter</t>
  </si>
  <si>
    <t>UV Foto</t>
  </si>
  <si>
    <t>Netto 2018</t>
  </si>
  <si>
    <t>Reservekompressor</t>
  </si>
  <si>
    <t>Raet dykketreff</t>
  </si>
  <si>
    <t>Vedlikehold</t>
  </si>
  <si>
    <t>Husleie</t>
  </si>
  <si>
    <t>Klubblokale</t>
  </si>
  <si>
    <t>Handelens miljøfond</t>
  </si>
  <si>
    <t>Teinedugnad Jenny</t>
  </si>
  <si>
    <t>Våre strender</t>
  </si>
  <si>
    <t>Vipps salg av brus, sjokolade og diverse</t>
  </si>
  <si>
    <t>T-skjorter</t>
  </si>
  <si>
    <t>Grasrotandel</t>
  </si>
  <si>
    <t>Arendal undervannsklubb - Budsjett 2020, sammenlignet med regnskap 2021</t>
  </si>
  <si>
    <t>Salg av teiner andre dugnadsinntekter</t>
  </si>
  <si>
    <t>Utkjøp leasede scootere</t>
  </si>
  <si>
    <t>Nitroxmedlem</t>
  </si>
  <si>
    <t>Renovasjon</t>
  </si>
  <si>
    <t>Regnskap 2021</t>
  </si>
  <si>
    <t>Drift/vedlikehold</t>
  </si>
  <si>
    <t>Flaskeleie</t>
  </si>
  <si>
    <t>Helium</t>
  </si>
  <si>
    <t>Luft</t>
  </si>
  <si>
    <t>Redningselskapet</t>
  </si>
  <si>
    <t>Vedlikehold/rep</t>
  </si>
  <si>
    <t>Utleie Scooter</t>
  </si>
  <si>
    <t>Kasser</t>
  </si>
  <si>
    <t>Norges dykkerforbund inkl mva komp</t>
  </si>
  <si>
    <t>Arrangement og treff</t>
  </si>
  <si>
    <t>Saldo 31.12.2021</t>
  </si>
  <si>
    <t>Budsjett 2022</t>
  </si>
  <si>
    <t>Samme som før</t>
  </si>
  <si>
    <t>Kommentarer til budsjett</t>
  </si>
  <si>
    <t>Regnskap 2022</t>
  </si>
  <si>
    <t>Strøm (støtte)</t>
  </si>
  <si>
    <t>Sildesalgslaget</t>
  </si>
  <si>
    <t>Sparebanken Sør</t>
  </si>
  <si>
    <t>Nitrox og O2 Stage</t>
  </si>
  <si>
    <t xml:space="preserve">Spleis </t>
  </si>
  <si>
    <t>Bensin dekt av klubb for teinedugnad</t>
  </si>
  <si>
    <t>Inntekt/utleie/Spleis/VHF</t>
  </si>
  <si>
    <t>Tech/Foto arrangement</t>
  </si>
  <si>
    <t>Teinerydding m/utg</t>
  </si>
  <si>
    <t>Andre dugnder</t>
  </si>
  <si>
    <t>Julebord / årsmøte</t>
  </si>
  <si>
    <t xml:space="preserve">Ingen planlagte større utgifter. </t>
  </si>
  <si>
    <t>Høy strøm</t>
  </si>
  <si>
    <t>Forventer ca samme inntekt på teiner</t>
  </si>
  <si>
    <t>Mindre salg av teiner</t>
  </si>
  <si>
    <t>Ingen budsjettering av dugnad på moring pga forsikring. Klubben kan ikke stå i regi av moringsarbeid o.l</t>
  </si>
  <si>
    <t>Forsette å arrangere teineryddingsdykk samt samtaler med velforeninger</t>
  </si>
  <si>
    <t>Søker om støtte</t>
  </si>
  <si>
    <t>Forslag om kjøp av booster</t>
  </si>
  <si>
    <t>Forslag til støtte av Helium for teinerydding</t>
  </si>
  <si>
    <t>Fikk dekt regning på 85000kr til bytte av pontong av Raet nasjonalpark</t>
  </si>
  <si>
    <t>Dekke av forhåndsarrangerte teineturer. Avtale antall teiner for grastis tur på årsmøte.</t>
  </si>
  <si>
    <t>Klubbturer</t>
  </si>
  <si>
    <t>Behov for service av enkelte scootere. Store utgifter 2022 pga brann</t>
  </si>
  <si>
    <t>Service på motor</t>
  </si>
  <si>
    <t>Har brukt opp rest av tilskudd fra Handelens miljøfond</t>
  </si>
  <si>
    <t>Saldo 31.12.2022</t>
  </si>
  <si>
    <t>Budsjett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</si>
</sst>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2" fontId="0" fillId="0" borderId="0" xfId="0" applyNumberFormat="1"/>
    <xf numFmtId="2" fontId="1" fillId="0" borderId="0" xfId="0" applyNumberFormat="1" applyFont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5" xfId="0" applyFont="1" applyBorder="1"/>
    <xf numFmtId="0" fontId="2" fillId="0" borderId="11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7" xfId="0" applyFont="1" applyBorder="1"/>
    <xf numFmtId="0" fontId="1" fillId="0" borderId="0" xfId="0" applyFont="1"/>
    <xf numFmtId="0" fontId="0" fillId="0" borderId="3" xfId="0" applyBorder="1"/>
    <xf numFmtId="0" fontId="0" fillId="0" borderId="12" xfId="0" applyBorder="1"/>
    <xf numFmtId="0" fontId="0" fillId="0" borderId="1" xfId="0" applyBorder="1"/>
    <xf numFmtId="0" fontId="0" fillId="0" borderId="2" xfId="0" applyBorder="1"/>
    <xf numFmtId="0" fontId="2" fillId="0" borderId="6" xfId="0" applyFont="1" applyBorder="1"/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/>
    </xf>
    <xf numFmtId="0" fontId="4" fillId="0" borderId="0" xfId="0" applyFont="1"/>
    <xf numFmtId="0" fontId="0" fillId="0" borderId="2" xfId="0" applyBorder="1" applyAlignment="1">
      <alignment horizontal="left" indent="2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2" fontId="2" fillId="0" borderId="4" xfId="0" applyNumberFormat="1" applyFont="1" applyBorder="1"/>
    <xf numFmtId="0" fontId="2" fillId="0" borderId="17" xfId="0" applyFont="1" applyBorder="1"/>
    <xf numFmtId="2" fontId="0" fillId="0" borderId="3" xfId="0" applyNumberFormat="1" applyBorder="1"/>
    <xf numFmtId="0" fontId="2" fillId="0" borderId="18" xfId="0" applyFont="1" applyBorder="1"/>
    <xf numFmtId="2" fontId="2" fillId="0" borderId="18" xfId="0" applyNumberFormat="1" applyFont="1" applyBorder="1"/>
    <xf numFmtId="0" fontId="1" fillId="0" borderId="13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5" xfId="0" applyFont="1" applyBorder="1" applyAlignment="1">
      <alignment horizontal="left" indent="1"/>
    </xf>
    <xf numFmtId="0" fontId="1" fillId="0" borderId="13" xfId="1" applyFont="1" applyFill="1" applyBorder="1"/>
    <xf numFmtId="0" fontId="0" fillId="0" borderId="2" xfId="0" applyBorder="1" applyAlignment="1">
      <alignment vertical="top"/>
    </xf>
    <xf numFmtId="0" fontId="2" fillId="0" borderId="14" xfId="0" applyFont="1" applyBorder="1"/>
    <xf numFmtId="0" fontId="2" fillId="0" borderId="23" xfId="0" applyFont="1" applyBorder="1"/>
    <xf numFmtId="0" fontId="7" fillId="0" borderId="13" xfId="0" applyFont="1" applyBorder="1"/>
    <xf numFmtId="0" fontId="7" fillId="0" borderId="24" xfId="0" applyFont="1" applyBorder="1"/>
    <xf numFmtId="0" fontId="7" fillId="0" borderId="1" xfId="0" applyFont="1" applyBorder="1"/>
    <xf numFmtId="0" fontId="7" fillId="0" borderId="20" xfId="0" applyFont="1" applyBorder="1"/>
    <xf numFmtId="0" fontId="7" fillId="0" borderId="25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0" xfId="0" applyFont="1"/>
    <xf numFmtId="0" fontId="7" fillId="0" borderId="15" xfId="0" applyFont="1" applyBorder="1"/>
    <xf numFmtId="0" fontId="7" fillId="0" borderId="16" xfId="0" applyFont="1" applyBorder="1"/>
    <xf numFmtId="0" fontId="7" fillId="0" borderId="19" xfId="0" applyFont="1" applyBorder="1"/>
    <xf numFmtId="0" fontId="7" fillId="0" borderId="15" xfId="0" applyFont="1" applyBorder="1" applyAlignment="1">
      <alignment horizontal="left" indent="1"/>
    </xf>
    <xf numFmtId="0" fontId="7" fillId="0" borderId="13" xfId="1" applyFont="1" applyFill="1" applyBorder="1"/>
    <xf numFmtId="2" fontId="2" fillId="0" borderId="14" xfId="0" applyNumberFormat="1" applyFont="1" applyBorder="1"/>
    <xf numFmtId="2" fontId="2" fillId="0" borderId="26" xfId="0" applyNumberFormat="1" applyFont="1" applyBorder="1"/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8" fillId="0" borderId="24" xfId="0" applyFont="1" applyBorder="1"/>
    <xf numFmtId="0" fontId="7" fillId="0" borderId="30" xfId="0" applyFont="1" applyBorder="1" applyAlignment="1">
      <alignment horizontal="left" indent="1"/>
    </xf>
    <xf numFmtId="0" fontId="7" fillId="0" borderId="31" xfId="0" applyFont="1" applyBorder="1"/>
    <xf numFmtId="0" fontId="7" fillId="0" borderId="30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1" fontId="7" fillId="0" borderId="24" xfId="0" applyNumberFormat="1" applyFont="1" applyBorder="1"/>
    <xf numFmtId="1" fontId="7" fillId="0" borderId="13" xfId="0" applyNumberFormat="1" applyFont="1" applyBorder="1"/>
    <xf numFmtId="1" fontId="7" fillId="0" borderId="1" xfId="0" applyNumberFormat="1" applyFont="1" applyBorder="1"/>
    <xf numFmtId="1" fontId="7" fillId="0" borderId="20" xfId="0" applyNumberFormat="1" applyFont="1" applyBorder="1"/>
    <xf numFmtId="1" fontId="7" fillId="0" borderId="25" xfId="0" applyNumberFormat="1" applyFont="1" applyBorder="1"/>
    <xf numFmtId="1" fontId="7" fillId="0" borderId="21" xfId="0" applyNumberFormat="1" applyFont="1" applyBorder="1"/>
    <xf numFmtId="1" fontId="7" fillId="0" borderId="22" xfId="0" applyNumberFormat="1" applyFont="1" applyBorder="1"/>
    <xf numFmtId="1" fontId="8" fillId="0" borderId="24" xfId="0" applyNumberFormat="1" applyFont="1" applyBorder="1"/>
    <xf numFmtId="1" fontId="7" fillId="0" borderId="27" xfId="0" applyNumberFormat="1" applyFont="1" applyBorder="1"/>
    <xf numFmtId="1" fontId="7" fillId="0" borderId="28" xfId="0" applyNumberFormat="1" applyFont="1" applyBorder="1"/>
    <xf numFmtId="1" fontId="7" fillId="0" borderId="29" xfId="0" applyNumberFormat="1" applyFont="1" applyBorder="1"/>
    <xf numFmtId="1" fontId="7" fillId="0" borderId="0" xfId="0" applyNumberFormat="1" applyFont="1"/>
    <xf numFmtId="1" fontId="7" fillId="0" borderId="15" xfId="0" applyNumberFormat="1" applyFont="1" applyBorder="1"/>
    <xf numFmtId="1" fontId="7" fillId="0" borderId="16" xfId="0" applyNumberFormat="1" applyFont="1" applyBorder="1"/>
    <xf numFmtId="1" fontId="7" fillId="0" borderId="19" xfId="0" applyNumberFormat="1" applyFont="1" applyBorder="1"/>
    <xf numFmtId="1" fontId="7" fillId="0" borderId="15" xfId="0" applyNumberFormat="1" applyFont="1" applyBorder="1" applyAlignment="1">
      <alignment horizontal="left" indent="1"/>
    </xf>
    <xf numFmtId="1" fontId="7" fillId="0" borderId="30" xfId="0" applyNumberFormat="1" applyFont="1" applyBorder="1" applyAlignment="1">
      <alignment horizontal="left" indent="1"/>
    </xf>
    <xf numFmtId="1" fontId="7" fillId="0" borderId="31" xfId="0" applyNumberFormat="1" applyFont="1" applyBorder="1"/>
    <xf numFmtId="1" fontId="7" fillId="0" borderId="13" xfId="1" applyNumberFormat="1" applyFont="1" applyFill="1" applyBorder="1"/>
    <xf numFmtId="1" fontId="7" fillId="0" borderId="30" xfId="0" applyNumberFormat="1" applyFont="1" applyBorder="1"/>
    <xf numFmtId="1" fontId="2" fillId="0" borderId="14" xfId="0" applyNumberFormat="1" applyFont="1" applyBorder="1"/>
    <xf numFmtId="1" fontId="2" fillId="0" borderId="0" xfId="0" applyNumberFormat="1" applyFont="1"/>
    <xf numFmtId="1" fontId="2" fillId="0" borderId="26" xfId="0" applyNumberFormat="1" applyFont="1" applyBorder="1"/>
    <xf numFmtId="2" fontId="7" fillId="0" borderId="24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Nøytral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5"/>
  <sheetViews>
    <sheetView tabSelected="1" zoomScaleNormal="100" workbookViewId="0">
      <pane ySplit="4" topLeftCell="A5" activePane="bottomLeft" state="frozen"/>
      <selection pane="bottomLeft" activeCell="R8" sqref="R8"/>
    </sheetView>
  </sheetViews>
  <sheetFormatPr baseColWidth="10" defaultColWidth="8.7265625" defaultRowHeight="14.5" x14ac:dyDescent="0.35"/>
  <cols>
    <col min="1" max="1" width="38.54296875" customWidth="1"/>
    <col min="2" max="3" width="0.453125" customWidth="1"/>
    <col min="4" max="9" width="13.54296875" customWidth="1"/>
    <col min="10" max="10" width="13.453125" bestFit="1" customWidth="1"/>
    <col min="11" max="11" width="11.81640625" bestFit="1" customWidth="1"/>
    <col min="12" max="12" width="10.1796875" bestFit="1" customWidth="1"/>
    <col min="13" max="13" width="10" customWidth="1"/>
    <col min="14" max="14" width="9.26953125" bestFit="1" customWidth="1"/>
    <col min="15" max="15" width="12.26953125" customWidth="1"/>
    <col min="16" max="16" width="9" bestFit="1" customWidth="1"/>
  </cols>
  <sheetData>
    <row r="1" spans="1:18" x14ac:dyDescent="0.35">
      <c r="A1" s="1" t="s">
        <v>40</v>
      </c>
      <c r="M1" s="2"/>
    </row>
    <row r="2" spans="1:18" ht="15" thickBot="1" x14ac:dyDescent="0.4">
      <c r="A2" s="1"/>
      <c r="D2" s="2"/>
      <c r="E2" s="2"/>
      <c r="F2" s="2"/>
      <c r="G2" s="2"/>
      <c r="H2" s="2"/>
      <c r="I2" s="2"/>
      <c r="J2" s="2"/>
    </row>
    <row r="3" spans="1:18" ht="15" thickBot="1" x14ac:dyDescent="0.4">
      <c r="A3" s="1"/>
      <c r="C3" s="10" t="s">
        <v>24</v>
      </c>
      <c r="D3" s="87" t="s">
        <v>60</v>
      </c>
      <c r="E3" s="88"/>
      <c r="F3" s="89"/>
      <c r="G3" s="87" t="s">
        <v>45</v>
      </c>
      <c r="H3" s="88"/>
      <c r="I3" s="89"/>
      <c r="J3" s="87" t="s">
        <v>88</v>
      </c>
      <c r="K3" s="88"/>
      <c r="L3" s="89"/>
      <c r="M3" s="8" t="s">
        <v>25</v>
      </c>
      <c r="N3" s="87" t="s">
        <v>57</v>
      </c>
      <c r="O3" s="88"/>
      <c r="P3" s="89"/>
      <c r="R3">
        <v>2023</v>
      </c>
    </row>
    <row r="4" spans="1:18" ht="15" thickBot="1" x14ac:dyDescent="0.4">
      <c r="A4" s="7" t="s">
        <v>0</v>
      </c>
      <c r="B4" s="17" t="s">
        <v>1</v>
      </c>
      <c r="C4" s="9" t="s">
        <v>28</v>
      </c>
      <c r="D4" s="37" t="s">
        <v>9</v>
      </c>
      <c r="E4" s="38" t="s">
        <v>10</v>
      </c>
      <c r="F4" s="17" t="s">
        <v>11</v>
      </c>
      <c r="G4" s="37" t="s">
        <v>9</v>
      </c>
      <c r="H4" s="38" t="s">
        <v>10</v>
      </c>
      <c r="I4" s="17" t="s">
        <v>11</v>
      </c>
      <c r="J4" s="7" t="s">
        <v>9</v>
      </c>
      <c r="K4" s="27" t="s">
        <v>10</v>
      </c>
      <c r="L4" s="29" t="s">
        <v>11</v>
      </c>
      <c r="M4" s="9" t="s">
        <v>20</v>
      </c>
      <c r="N4" s="7" t="s">
        <v>9</v>
      </c>
      <c r="O4" s="27" t="s">
        <v>10</v>
      </c>
      <c r="P4" s="29" t="s">
        <v>11</v>
      </c>
      <c r="R4" s="1" t="s">
        <v>59</v>
      </c>
    </row>
    <row r="5" spans="1:18" x14ac:dyDescent="0.35">
      <c r="A5" s="61" t="s">
        <v>2</v>
      </c>
      <c r="B5" s="15"/>
      <c r="C5" s="14">
        <v>31745</v>
      </c>
      <c r="D5" s="64">
        <v>39677</v>
      </c>
      <c r="E5" s="63">
        <v>4615</v>
      </c>
      <c r="F5" s="65">
        <f>D5-E5</f>
        <v>35062</v>
      </c>
      <c r="G5" s="39">
        <f>SUM(57627.87-G6-G7)</f>
        <v>31427.870000000003</v>
      </c>
      <c r="H5" s="40">
        <f>5200+971.02</f>
        <v>6171.02</v>
      </c>
      <c r="I5" s="41">
        <f>G5-H5</f>
        <v>25256.850000000002</v>
      </c>
      <c r="J5" s="31">
        <v>40000</v>
      </c>
      <c r="K5" s="32">
        <v>7000</v>
      </c>
      <c r="L5" s="33">
        <f>SUM(J5-K5)</f>
        <v>33000</v>
      </c>
      <c r="M5" s="28">
        <f>SUM(I5-L5)</f>
        <v>-7743.1499999999978</v>
      </c>
      <c r="N5" s="31">
        <v>35000</v>
      </c>
      <c r="O5" s="32">
        <v>6500</v>
      </c>
      <c r="P5" s="33">
        <f>SUM(N5-O5)</f>
        <v>28500</v>
      </c>
    </row>
    <row r="6" spans="1:18" x14ac:dyDescent="0.35">
      <c r="A6" s="18" t="s">
        <v>14</v>
      </c>
      <c r="B6" s="15"/>
      <c r="C6" s="13">
        <v>27500</v>
      </c>
      <c r="D6" s="64">
        <f>SUM(32*500)</f>
        <v>16000</v>
      </c>
      <c r="E6" s="63"/>
      <c r="F6" s="65">
        <f t="shared" ref="F6:F7" si="0">D6-E6</f>
        <v>16000</v>
      </c>
      <c r="G6" s="39">
        <f>SUM(32*500)</f>
        <v>16000</v>
      </c>
      <c r="H6" s="40"/>
      <c r="I6" s="41">
        <f t="shared" ref="I6:I7" si="1">G6-H6</f>
        <v>16000</v>
      </c>
      <c r="J6" s="31">
        <v>18000</v>
      </c>
      <c r="K6" s="32"/>
      <c r="L6" s="33">
        <f t="shared" ref="L6:L68" si="2">SUM(J6-K6)</f>
        <v>18000</v>
      </c>
      <c r="M6" s="28">
        <f t="shared" ref="M6:M68" si="3">SUM(I6-L6)</f>
        <v>-2000</v>
      </c>
      <c r="N6" s="31">
        <v>20000</v>
      </c>
      <c r="O6" s="32"/>
      <c r="P6" s="33">
        <f t="shared" ref="P6:P68" si="4">SUM(N6-O6)</f>
        <v>20000</v>
      </c>
    </row>
    <row r="7" spans="1:18" x14ac:dyDescent="0.35">
      <c r="A7" s="18" t="s">
        <v>43</v>
      </c>
      <c r="B7" s="15"/>
      <c r="C7" s="13">
        <v>9512</v>
      </c>
      <c r="D7" s="64">
        <v>9600</v>
      </c>
      <c r="E7" s="63"/>
      <c r="F7" s="65">
        <f t="shared" si="0"/>
        <v>9600</v>
      </c>
      <c r="G7" s="39">
        <f>SUM(17*600)</f>
        <v>10200</v>
      </c>
      <c r="H7" s="40"/>
      <c r="I7" s="41">
        <f t="shared" si="1"/>
        <v>10200</v>
      </c>
      <c r="J7" s="31">
        <v>10000</v>
      </c>
      <c r="K7" s="32"/>
      <c r="L7" s="33">
        <f t="shared" si="2"/>
        <v>10000</v>
      </c>
      <c r="M7" s="28">
        <f t="shared" si="3"/>
        <v>200</v>
      </c>
      <c r="N7" s="31">
        <v>12000</v>
      </c>
      <c r="O7" s="32"/>
      <c r="P7" s="33">
        <f t="shared" si="4"/>
        <v>12000</v>
      </c>
    </row>
    <row r="8" spans="1:18" ht="15" thickBot="1" x14ac:dyDescent="0.4">
      <c r="A8" s="18"/>
      <c r="B8" s="15"/>
      <c r="C8" s="13"/>
      <c r="D8" s="66">
        <f t="shared" ref="D8:I8" si="5">SUM(D5:D7)</f>
        <v>65277</v>
      </c>
      <c r="E8" s="67">
        <f t="shared" si="5"/>
        <v>4615</v>
      </c>
      <c r="F8" s="68">
        <f t="shared" si="5"/>
        <v>60662</v>
      </c>
      <c r="G8" s="42">
        <f t="shared" si="5"/>
        <v>57627.87</v>
      </c>
      <c r="H8" s="43">
        <f t="shared" si="5"/>
        <v>6171.02</v>
      </c>
      <c r="I8" s="44">
        <f t="shared" si="5"/>
        <v>51456.850000000006</v>
      </c>
      <c r="J8" s="31"/>
      <c r="K8" s="32"/>
      <c r="L8" s="33">
        <f t="shared" si="2"/>
        <v>0</v>
      </c>
      <c r="M8" s="28"/>
      <c r="N8" s="31"/>
      <c r="O8" s="32"/>
      <c r="P8" s="33">
        <f t="shared" si="4"/>
        <v>0</v>
      </c>
    </row>
    <row r="9" spans="1:18" ht="15" thickTop="1" x14ac:dyDescent="0.35">
      <c r="A9" s="18"/>
      <c r="B9" s="15"/>
      <c r="C9" s="13"/>
      <c r="D9" s="64"/>
      <c r="E9" s="63"/>
      <c r="F9" s="65"/>
      <c r="G9" s="39"/>
      <c r="H9" s="40"/>
      <c r="I9" s="41"/>
      <c r="J9" s="31"/>
      <c r="K9" s="32"/>
      <c r="L9" s="33">
        <f t="shared" si="2"/>
        <v>0</v>
      </c>
      <c r="M9" s="28">
        <f t="shared" si="3"/>
        <v>0</v>
      </c>
      <c r="N9" s="31"/>
      <c r="O9" s="32"/>
      <c r="P9" s="33">
        <f t="shared" si="4"/>
        <v>0</v>
      </c>
    </row>
    <row r="10" spans="1:18" x14ac:dyDescent="0.35">
      <c r="A10" s="62" t="s">
        <v>33</v>
      </c>
      <c r="B10" s="15"/>
      <c r="C10" s="13"/>
      <c r="D10" s="64"/>
      <c r="E10" s="63"/>
      <c r="F10" s="65">
        <f t="shared" ref="F10:F14" si="6">D10-E10</f>
        <v>0</v>
      </c>
      <c r="G10" s="39"/>
      <c r="H10" s="40"/>
      <c r="I10" s="41">
        <f t="shared" ref="I10:I14" si="7">G10-H10</f>
        <v>0</v>
      </c>
      <c r="J10" s="31"/>
      <c r="K10" s="32"/>
      <c r="L10" s="33">
        <f t="shared" si="2"/>
        <v>0</v>
      </c>
      <c r="M10" s="28">
        <f t="shared" si="3"/>
        <v>0</v>
      </c>
      <c r="N10" s="31"/>
      <c r="O10" s="32"/>
      <c r="P10" s="33">
        <f t="shared" si="4"/>
        <v>0</v>
      </c>
    </row>
    <row r="11" spans="1:18" x14ac:dyDescent="0.35">
      <c r="A11" s="18" t="s">
        <v>32</v>
      </c>
      <c r="B11" s="15"/>
      <c r="C11" s="13"/>
      <c r="D11" s="64"/>
      <c r="E11" s="63">
        <v>60000</v>
      </c>
      <c r="F11" s="65">
        <f t="shared" si="6"/>
        <v>-60000</v>
      </c>
      <c r="G11" s="39"/>
      <c r="H11" s="40">
        <v>60000</v>
      </c>
      <c r="I11" s="41">
        <f t="shared" si="7"/>
        <v>-60000</v>
      </c>
      <c r="J11" s="31"/>
      <c r="K11" s="32">
        <v>60000</v>
      </c>
      <c r="L11" s="33">
        <f t="shared" si="2"/>
        <v>-60000</v>
      </c>
      <c r="M11" s="28">
        <f t="shared" si="3"/>
        <v>0</v>
      </c>
      <c r="N11" s="31"/>
      <c r="O11" s="32">
        <v>60000</v>
      </c>
      <c r="P11" s="33">
        <f t="shared" si="4"/>
        <v>-60000</v>
      </c>
    </row>
    <row r="12" spans="1:18" x14ac:dyDescent="0.35">
      <c r="A12" s="18" t="s">
        <v>46</v>
      </c>
      <c r="B12" s="15"/>
      <c r="C12" s="13"/>
      <c r="D12" s="64"/>
      <c r="E12" s="63">
        <v>4496.3999999999996</v>
      </c>
      <c r="F12" s="65">
        <f t="shared" si="6"/>
        <v>-4496.3999999999996</v>
      </c>
      <c r="G12" s="39"/>
      <c r="H12" s="40">
        <f>8740.9+1852.6</f>
        <v>10593.5</v>
      </c>
      <c r="I12" s="41">
        <f t="shared" si="7"/>
        <v>-10593.5</v>
      </c>
      <c r="J12" s="31"/>
      <c r="K12" s="32">
        <v>5000</v>
      </c>
      <c r="L12" s="33">
        <f t="shared" si="2"/>
        <v>-5000</v>
      </c>
      <c r="M12" s="28">
        <f t="shared" si="3"/>
        <v>-5593.5</v>
      </c>
      <c r="N12" s="31"/>
      <c r="O12" s="32">
        <v>10000</v>
      </c>
      <c r="P12" s="33">
        <f t="shared" si="4"/>
        <v>-10000</v>
      </c>
      <c r="R12" t="s">
        <v>72</v>
      </c>
    </row>
    <row r="13" spans="1:18" x14ac:dyDescent="0.35">
      <c r="A13" s="18" t="s">
        <v>44</v>
      </c>
      <c r="B13" s="15"/>
      <c r="C13" s="13"/>
      <c r="D13" s="64"/>
      <c r="E13" s="63">
        <v>1221</v>
      </c>
      <c r="F13" s="65">
        <f t="shared" si="6"/>
        <v>-1221</v>
      </c>
      <c r="G13" s="39"/>
      <c r="H13" s="40">
        <v>1039</v>
      </c>
      <c r="I13" s="41">
        <f t="shared" si="7"/>
        <v>-1039</v>
      </c>
      <c r="J13" s="31"/>
      <c r="K13" s="32">
        <v>1500</v>
      </c>
      <c r="L13" s="33">
        <f t="shared" si="2"/>
        <v>-1500</v>
      </c>
      <c r="M13" s="28">
        <f t="shared" si="3"/>
        <v>461</v>
      </c>
      <c r="N13" s="31"/>
      <c r="O13" s="32">
        <v>1500</v>
      </c>
      <c r="P13" s="33">
        <f t="shared" si="4"/>
        <v>-1500</v>
      </c>
    </row>
    <row r="14" spans="1:18" x14ac:dyDescent="0.35">
      <c r="A14" s="18" t="s">
        <v>61</v>
      </c>
      <c r="B14" s="15"/>
      <c r="C14" s="13"/>
      <c r="D14" s="64">
        <v>2195.31</v>
      </c>
      <c r="E14" s="63">
        <v>12285.25</v>
      </c>
      <c r="F14" s="65">
        <f t="shared" si="6"/>
        <v>-10089.94</v>
      </c>
      <c r="G14" s="39"/>
      <c r="H14" s="40">
        <v>8730.82</v>
      </c>
      <c r="I14" s="41">
        <f t="shared" si="7"/>
        <v>-8730.82</v>
      </c>
      <c r="J14" s="31"/>
      <c r="K14" s="32">
        <v>12000</v>
      </c>
      <c r="L14" s="33">
        <f t="shared" si="2"/>
        <v>-12000</v>
      </c>
      <c r="M14" s="28">
        <f t="shared" si="3"/>
        <v>3269.1800000000003</v>
      </c>
      <c r="N14" s="31"/>
      <c r="O14" s="32">
        <v>12000</v>
      </c>
      <c r="P14" s="33">
        <f t="shared" si="4"/>
        <v>-12000</v>
      </c>
      <c r="R14" t="s">
        <v>73</v>
      </c>
    </row>
    <row r="15" spans="1:18" ht="15" thickBot="1" x14ac:dyDescent="0.4">
      <c r="A15" s="18"/>
      <c r="B15" s="15"/>
      <c r="C15" s="13"/>
      <c r="D15" s="66">
        <f>SUM(D11:D14)</f>
        <v>2195.31</v>
      </c>
      <c r="E15" s="67">
        <f>SUM(E11:E14)</f>
        <v>78002.649999999994</v>
      </c>
      <c r="F15" s="68">
        <f t="shared" ref="F15" si="8">SUM(F10:F14)</f>
        <v>-75807.34</v>
      </c>
      <c r="G15" s="42"/>
      <c r="H15" s="43">
        <f>SUM(H11:H14)</f>
        <v>80363.320000000007</v>
      </c>
      <c r="I15" s="44">
        <f t="shared" ref="I15" si="9">SUM(I10:I14)</f>
        <v>-80363.320000000007</v>
      </c>
      <c r="J15" s="31"/>
      <c r="K15" s="32"/>
      <c r="L15" s="33">
        <f t="shared" si="2"/>
        <v>0</v>
      </c>
      <c r="M15" s="28"/>
      <c r="N15" s="31"/>
      <c r="O15" s="32"/>
      <c r="P15" s="33">
        <f t="shared" si="4"/>
        <v>0</v>
      </c>
    </row>
    <row r="16" spans="1:18" ht="15" thickTop="1" x14ac:dyDescent="0.35">
      <c r="A16" s="18"/>
      <c r="B16" s="15"/>
      <c r="C16" s="13"/>
      <c r="D16" s="64"/>
      <c r="E16" s="63"/>
      <c r="F16" s="65"/>
      <c r="G16" s="39"/>
      <c r="H16" s="40"/>
      <c r="I16" s="41"/>
      <c r="J16" s="31"/>
      <c r="K16" s="32"/>
      <c r="L16" s="33">
        <f t="shared" si="2"/>
        <v>0</v>
      </c>
      <c r="M16" s="28">
        <f t="shared" si="3"/>
        <v>0</v>
      </c>
      <c r="N16" s="31"/>
      <c r="O16" s="32"/>
      <c r="P16" s="33">
        <f t="shared" si="4"/>
        <v>0</v>
      </c>
    </row>
    <row r="17" spans="1:18" x14ac:dyDescent="0.35">
      <c r="A17" s="61" t="s">
        <v>3</v>
      </c>
      <c r="B17" s="15"/>
      <c r="C17" s="13">
        <v>40143.480000000003</v>
      </c>
      <c r="D17" s="64"/>
      <c r="E17" s="63"/>
      <c r="F17" s="65"/>
      <c r="G17" s="39"/>
      <c r="H17" s="40"/>
      <c r="I17" s="41">
        <f t="shared" ref="I17:I25" si="10">G17-H17</f>
        <v>0</v>
      </c>
      <c r="J17" s="31"/>
      <c r="K17" s="32"/>
      <c r="L17" s="33">
        <f t="shared" si="2"/>
        <v>0</v>
      </c>
      <c r="M17" s="28">
        <f t="shared" si="3"/>
        <v>0</v>
      </c>
      <c r="N17" s="31"/>
      <c r="O17" s="32"/>
      <c r="P17" s="33">
        <f t="shared" si="4"/>
        <v>0</v>
      </c>
    </row>
    <row r="18" spans="1:18" x14ac:dyDescent="0.35">
      <c r="A18" s="16" t="s">
        <v>36</v>
      </c>
      <c r="B18" s="15"/>
      <c r="C18" s="13"/>
      <c r="D18" s="64"/>
      <c r="E18" s="63"/>
      <c r="F18" s="65"/>
      <c r="G18" s="39"/>
      <c r="H18" s="40"/>
      <c r="I18" s="41">
        <f t="shared" si="10"/>
        <v>0</v>
      </c>
      <c r="J18" s="31"/>
      <c r="K18" s="32"/>
      <c r="L18" s="33">
        <f t="shared" si="2"/>
        <v>0</v>
      </c>
      <c r="M18" s="28">
        <f t="shared" si="3"/>
        <v>0</v>
      </c>
      <c r="N18" s="31"/>
      <c r="O18" s="32"/>
      <c r="P18" s="33">
        <f t="shared" si="4"/>
        <v>0</v>
      </c>
    </row>
    <row r="19" spans="1:18" x14ac:dyDescent="0.35">
      <c r="A19" s="18" t="s">
        <v>69</v>
      </c>
      <c r="B19" s="15"/>
      <c r="C19" s="13"/>
      <c r="D19" s="64">
        <f>17200+4002+26000</f>
        <v>47202</v>
      </c>
      <c r="E19" s="63">
        <v>6678.85</v>
      </c>
      <c r="F19" s="65">
        <f>D19-E19</f>
        <v>40523.15</v>
      </c>
      <c r="G19" s="39">
        <f>3645+6200</f>
        <v>9845</v>
      </c>
      <c r="H19" s="40">
        <f>SUM(6407.18-5063.18)</f>
        <v>1344</v>
      </c>
      <c r="I19" s="41">
        <f t="shared" si="10"/>
        <v>8501</v>
      </c>
      <c r="J19" s="31">
        <v>50000</v>
      </c>
      <c r="K19" s="32">
        <v>5000</v>
      </c>
      <c r="L19" s="33">
        <f t="shared" si="2"/>
        <v>45000</v>
      </c>
      <c r="M19" s="28">
        <f t="shared" si="3"/>
        <v>-36499</v>
      </c>
      <c r="N19" s="31">
        <v>20000</v>
      </c>
      <c r="O19" s="32"/>
      <c r="P19" s="33">
        <f t="shared" si="4"/>
        <v>20000</v>
      </c>
      <c r="R19" t="s">
        <v>74</v>
      </c>
    </row>
    <row r="20" spans="1:18" x14ac:dyDescent="0.35">
      <c r="A20" s="18" t="s">
        <v>41</v>
      </c>
      <c r="B20" s="15"/>
      <c r="C20" s="13"/>
      <c r="D20" s="64">
        <f>4300+500+300+1200</f>
        <v>6300</v>
      </c>
      <c r="E20" s="63"/>
      <c r="F20" s="65">
        <f t="shared" ref="F20:F25" si="11">D20-E20</f>
        <v>6300</v>
      </c>
      <c r="G20" s="39">
        <f>1400+200+600+1000+1000+2400</f>
        <v>6600</v>
      </c>
      <c r="H20" s="40">
        <v>24.5</v>
      </c>
      <c r="I20" s="41">
        <f t="shared" si="10"/>
        <v>6575.5</v>
      </c>
      <c r="J20" s="31">
        <v>3000</v>
      </c>
      <c r="K20" s="32"/>
      <c r="L20" s="33">
        <f t="shared" si="2"/>
        <v>3000</v>
      </c>
      <c r="M20" s="28">
        <f t="shared" si="3"/>
        <v>3575.5</v>
      </c>
      <c r="N20" s="31">
        <v>5000</v>
      </c>
      <c r="O20" s="32"/>
      <c r="P20" s="33">
        <f t="shared" si="4"/>
        <v>5000</v>
      </c>
      <c r="R20" t="s">
        <v>75</v>
      </c>
    </row>
    <row r="21" spans="1:18" x14ac:dyDescent="0.35">
      <c r="A21" s="18" t="s">
        <v>70</v>
      </c>
      <c r="B21" s="15"/>
      <c r="C21" s="13"/>
      <c r="D21" s="64">
        <f>9000+2700+2000</f>
        <v>13700</v>
      </c>
      <c r="E21" s="63"/>
      <c r="F21" s="65">
        <f t="shared" si="11"/>
        <v>13700</v>
      </c>
      <c r="G21" s="39">
        <f>30000+50000</f>
        <v>80000</v>
      </c>
      <c r="H21" s="40">
        <f>628.56+628.62+3806</f>
        <v>5063.18</v>
      </c>
      <c r="I21" s="41">
        <f t="shared" si="10"/>
        <v>74936.820000000007</v>
      </c>
      <c r="J21" s="31">
        <v>0</v>
      </c>
      <c r="K21" s="32"/>
      <c r="L21" s="33">
        <f t="shared" si="2"/>
        <v>0</v>
      </c>
      <c r="M21" s="28">
        <f t="shared" si="3"/>
        <v>74936.820000000007</v>
      </c>
      <c r="N21" s="31"/>
      <c r="O21" s="32"/>
      <c r="P21" s="33">
        <f t="shared" si="4"/>
        <v>0</v>
      </c>
      <c r="R21" t="s">
        <v>76</v>
      </c>
    </row>
    <row r="22" spans="1:18" x14ac:dyDescent="0.35">
      <c r="A22" s="18" t="s">
        <v>54</v>
      </c>
      <c r="B22" s="15"/>
      <c r="C22" s="13"/>
      <c r="D22" s="64">
        <f>5875+18843+29000</f>
        <v>53718</v>
      </c>
      <c r="E22" s="63"/>
      <c r="F22" s="65">
        <f t="shared" si="11"/>
        <v>53718</v>
      </c>
      <c r="G22" s="39">
        <f>4000+2433+6970+33988+14800</f>
        <v>62191</v>
      </c>
      <c r="H22" s="40"/>
      <c r="I22" s="41">
        <f t="shared" si="10"/>
        <v>62191</v>
      </c>
      <c r="J22" s="31">
        <v>50000</v>
      </c>
      <c r="K22" s="32"/>
      <c r="L22" s="33">
        <f t="shared" si="2"/>
        <v>50000</v>
      </c>
      <c r="M22" s="28">
        <f t="shared" si="3"/>
        <v>12191</v>
      </c>
      <c r="N22" s="31">
        <v>50000</v>
      </c>
      <c r="O22" s="32"/>
      <c r="P22" s="33">
        <f t="shared" si="4"/>
        <v>50000</v>
      </c>
      <c r="R22" t="s">
        <v>77</v>
      </c>
    </row>
    <row r="23" spans="1:18" x14ac:dyDescent="0.35">
      <c r="A23" s="18" t="s">
        <v>63</v>
      </c>
      <c r="B23" s="15"/>
      <c r="C23" s="13"/>
      <c r="D23" s="64">
        <v>100000</v>
      </c>
      <c r="E23" s="63"/>
      <c r="F23" s="65">
        <f t="shared" si="11"/>
        <v>100000</v>
      </c>
      <c r="G23" s="39"/>
      <c r="H23" s="40"/>
      <c r="I23" s="41">
        <f t="shared" si="10"/>
        <v>0</v>
      </c>
      <c r="J23" s="31"/>
      <c r="K23" s="32"/>
      <c r="L23" s="33">
        <f t="shared" si="2"/>
        <v>0</v>
      </c>
      <c r="M23" s="28">
        <f t="shared" si="3"/>
        <v>0</v>
      </c>
      <c r="N23" s="31"/>
      <c r="O23" s="32"/>
      <c r="P23" s="33">
        <f t="shared" si="4"/>
        <v>0</v>
      </c>
    </row>
    <row r="24" spans="1:18" x14ac:dyDescent="0.35">
      <c r="A24" s="19" t="s">
        <v>39</v>
      </c>
      <c r="B24" s="22"/>
      <c r="C24" s="23"/>
      <c r="D24" s="64">
        <f>9919.44+7125.79+908+7576.17</f>
        <v>25529.4</v>
      </c>
      <c r="E24" s="63"/>
      <c r="F24" s="65">
        <f t="shared" si="11"/>
        <v>25529.4</v>
      </c>
      <c r="G24" s="39">
        <f>7305.07+7978.56+10503.69</f>
        <v>25787.32</v>
      </c>
      <c r="H24" s="40"/>
      <c r="I24" s="41">
        <f t="shared" si="10"/>
        <v>25787.32</v>
      </c>
      <c r="J24" s="31">
        <v>25000</v>
      </c>
      <c r="K24" s="32"/>
      <c r="L24" s="33">
        <f t="shared" si="2"/>
        <v>25000</v>
      </c>
      <c r="M24" s="28">
        <f t="shared" si="3"/>
        <v>787.31999999999971</v>
      </c>
      <c r="N24" s="31">
        <v>20000</v>
      </c>
      <c r="O24" s="32"/>
      <c r="P24" s="33">
        <f t="shared" si="4"/>
        <v>20000</v>
      </c>
      <c r="R24" t="s">
        <v>58</v>
      </c>
    </row>
    <row r="25" spans="1:18" x14ac:dyDescent="0.35">
      <c r="A25" s="18" t="s">
        <v>62</v>
      </c>
      <c r="B25" s="15"/>
      <c r="C25" s="13"/>
      <c r="D25" s="64">
        <v>10000</v>
      </c>
      <c r="E25" s="86"/>
      <c r="F25" s="65">
        <f t="shared" si="11"/>
        <v>10000</v>
      </c>
      <c r="G25" s="39">
        <v>2000</v>
      </c>
      <c r="H25" s="40"/>
      <c r="I25" s="41">
        <f t="shared" si="10"/>
        <v>2000</v>
      </c>
      <c r="J25" s="31">
        <v>5000</v>
      </c>
      <c r="K25" s="32"/>
      <c r="L25" s="33">
        <f t="shared" si="2"/>
        <v>5000</v>
      </c>
      <c r="M25" s="28">
        <f t="shared" si="3"/>
        <v>-3000</v>
      </c>
      <c r="N25" s="31">
        <v>2000</v>
      </c>
      <c r="O25" s="32"/>
      <c r="P25" s="33">
        <f t="shared" si="4"/>
        <v>2000</v>
      </c>
      <c r="R25" t="s">
        <v>78</v>
      </c>
    </row>
    <row r="26" spans="1:18" ht="15" thickBot="1" x14ac:dyDescent="0.4">
      <c r="A26" s="18"/>
      <c r="B26" s="15"/>
      <c r="C26" s="13"/>
      <c r="D26" s="66">
        <f t="shared" ref="D26:E26" si="12">SUM(D18:D25)</f>
        <v>256449.4</v>
      </c>
      <c r="E26" s="67">
        <f t="shared" si="12"/>
        <v>6678.85</v>
      </c>
      <c r="F26" s="69">
        <f>SUM(F18:F25)</f>
        <v>249770.55</v>
      </c>
      <c r="G26" s="42">
        <f t="shared" ref="G26:I26" si="13">SUM(G18:G25)</f>
        <v>186423.32</v>
      </c>
      <c r="H26" s="43">
        <f t="shared" si="13"/>
        <v>6431.68</v>
      </c>
      <c r="I26" s="45">
        <f t="shared" si="13"/>
        <v>179991.64</v>
      </c>
      <c r="J26" s="31"/>
      <c r="K26" s="32"/>
      <c r="L26" s="33">
        <f t="shared" si="2"/>
        <v>0</v>
      </c>
      <c r="M26" s="28"/>
      <c r="N26" s="31"/>
      <c r="O26" s="32"/>
      <c r="P26" s="33">
        <f t="shared" si="4"/>
        <v>0</v>
      </c>
    </row>
    <row r="27" spans="1:18" ht="15" thickTop="1" x14ac:dyDescent="0.35">
      <c r="A27" s="18"/>
      <c r="B27" s="15"/>
      <c r="C27" s="13"/>
      <c r="D27" s="64"/>
      <c r="E27" s="63"/>
      <c r="F27" s="65"/>
      <c r="G27" s="39"/>
      <c r="H27" s="40"/>
      <c r="I27" s="41"/>
      <c r="J27" s="31"/>
      <c r="K27" s="32"/>
      <c r="L27" s="33">
        <f t="shared" si="2"/>
        <v>0</v>
      </c>
      <c r="M27" s="28">
        <f t="shared" si="3"/>
        <v>0</v>
      </c>
      <c r="N27" s="31"/>
      <c r="O27" s="32"/>
      <c r="P27" s="33">
        <f t="shared" si="4"/>
        <v>0</v>
      </c>
    </row>
    <row r="28" spans="1:18" x14ac:dyDescent="0.35">
      <c r="A28" s="61" t="s">
        <v>6</v>
      </c>
      <c r="B28" s="15"/>
      <c r="C28" s="13">
        <v>-10975.98</v>
      </c>
      <c r="D28" s="64"/>
      <c r="E28" s="63"/>
      <c r="F28" s="65">
        <f t="shared" ref="F28:F35" si="14">D28-E28</f>
        <v>0</v>
      </c>
      <c r="G28" s="39"/>
      <c r="H28" s="40"/>
      <c r="I28" s="41">
        <f t="shared" ref="I28:I42" si="15">G28-H28</f>
        <v>0</v>
      </c>
      <c r="J28" s="31"/>
      <c r="K28" s="32"/>
      <c r="L28" s="33">
        <f t="shared" si="2"/>
        <v>0</v>
      </c>
      <c r="M28" s="28">
        <f t="shared" si="3"/>
        <v>0</v>
      </c>
      <c r="N28" s="31"/>
      <c r="O28" s="32"/>
      <c r="P28" s="33">
        <f t="shared" si="4"/>
        <v>0</v>
      </c>
    </row>
    <row r="29" spans="1:18" x14ac:dyDescent="0.35">
      <c r="A29" s="18" t="s">
        <v>31</v>
      </c>
      <c r="B29" s="15"/>
      <c r="C29" s="13"/>
      <c r="D29" s="64"/>
      <c r="E29" s="63">
        <v>20122.009999999998</v>
      </c>
      <c r="F29" s="65">
        <f t="shared" si="14"/>
        <v>-20122.009999999998</v>
      </c>
      <c r="G29" s="39"/>
      <c r="H29" s="40">
        <f>3155.66+13742.15+7125+1387.43+2659.2</f>
        <v>28069.439999999999</v>
      </c>
      <c r="I29" s="41">
        <f t="shared" si="15"/>
        <v>-28069.439999999999</v>
      </c>
      <c r="J29" s="31"/>
      <c r="K29" s="32">
        <v>20000</v>
      </c>
      <c r="L29" s="33">
        <f t="shared" si="2"/>
        <v>-20000</v>
      </c>
      <c r="M29" s="28">
        <f t="shared" si="3"/>
        <v>-8069.4399999999987</v>
      </c>
      <c r="N29" s="31"/>
      <c r="O29" s="32">
        <v>10000</v>
      </c>
      <c r="P29" s="33">
        <f t="shared" si="4"/>
        <v>-10000</v>
      </c>
    </row>
    <row r="30" spans="1:18" x14ac:dyDescent="0.35">
      <c r="A30" s="18" t="s">
        <v>29</v>
      </c>
      <c r="B30" s="15"/>
      <c r="C30" s="13"/>
      <c r="D30" s="64"/>
      <c r="E30" s="63"/>
      <c r="F30" s="65">
        <f t="shared" si="14"/>
        <v>0</v>
      </c>
      <c r="G30" s="39"/>
      <c r="H30" s="40">
        <f>1508.55+3000+2000</f>
        <v>6508.55</v>
      </c>
      <c r="I30" s="41">
        <f t="shared" si="15"/>
        <v>-6508.55</v>
      </c>
      <c r="J30" s="31"/>
      <c r="K30" s="32">
        <v>3000</v>
      </c>
      <c r="L30" s="33">
        <f t="shared" si="2"/>
        <v>-3000</v>
      </c>
      <c r="M30" s="28">
        <f t="shared" si="3"/>
        <v>-3508.55</v>
      </c>
      <c r="N30" s="31"/>
      <c r="O30" s="32">
        <v>3000</v>
      </c>
      <c r="P30" s="33">
        <f t="shared" si="4"/>
        <v>-3000</v>
      </c>
    </row>
    <row r="31" spans="1:18" x14ac:dyDescent="0.35">
      <c r="A31" s="18"/>
      <c r="B31" s="15"/>
      <c r="C31" s="13">
        <v>-1423</v>
      </c>
      <c r="D31" s="64"/>
      <c r="E31" s="70"/>
      <c r="F31" s="65">
        <f t="shared" si="14"/>
        <v>0</v>
      </c>
      <c r="G31" s="39"/>
      <c r="H31" s="57"/>
      <c r="I31" s="41">
        <f t="shared" si="15"/>
        <v>0</v>
      </c>
      <c r="J31" s="31"/>
      <c r="K31" s="32"/>
      <c r="L31" s="33">
        <f t="shared" si="2"/>
        <v>0</v>
      </c>
      <c r="M31" s="28">
        <f t="shared" si="3"/>
        <v>0</v>
      </c>
      <c r="N31" s="31"/>
      <c r="O31" s="32"/>
      <c r="P31" s="33">
        <f t="shared" si="4"/>
        <v>0</v>
      </c>
      <c r="R31" t="s">
        <v>79</v>
      </c>
    </row>
    <row r="32" spans="1:18" x14ac:dyDescent="0.35">
      <c r="A32" s="18" t="s">
        <v>47</v>
      </c>
      <c r="B32" s="15"/>
      <c r="C32" s="13"/>
      <c r="D32" s="64"/>
      <c r="E32" s="63">
        <v>3547</v>
      </c>
      <c r="F32" s="65">
        <f t="shared" si="14"/>
        <v>-3547</v>
      </c>
      <c r="G32" s="39"/>
      <c r="H32" s="40">
        <f>2100+3142+163</f>
        <v>5405</v>
      </c>
      <c r="I32" s="41">
        <f t="shared" si="15"/>
        <v>-5405</v>
      </c>
      <c r="J32" s="31"/>
      <c r="K32" s="32">
        <v>4000</v>
      </c>
      <c r="L32" s="33">
        <f t="shared" si="2"/>
        <v>-4000</v>
      </c>
      <c r="M32" s="28">
        <f t="shared" si="3"/>
        <v>-1405</v>
      </c>
      <c r="N32" s="31"/>
      <c r="O32" s="32">
        <v>6000</v>
      </c>
      <c r="P32" s="33">
        <f t="shared" si="4"/>
        <v>-6000</v>
      </c>
    </row>
    <row r="33" spans="1:18" x14ac:dyDescent="0.35">
      <c r="A33" s="18" t="s">
        <v>64</v>
      </c>
      <c r="B33" s="15"/>
      <c r="C33" s="13"/>
      <c r="D33" s="64">
        <v>3024.25</v>
      </c>
      <c r="E33" s="63">
        <v>6971</v>
      </c>
      <c r="F33" s="65">
        <f t="shared" si="14"/>
        <v>-3946.75</v>
      </c>
      <c r="G33" s="39">
        <f>900+300+306.5+310+350+150</f>
        <v>2316.5</v>
      </c>
      <c r="H33" s="40">
        <f>908+908+908+454+1362+454</f>
        <v>4994</v>
      </c>
      <c r="I33" s="41">
        <f t="shared" si="15"/>
        <v>-2677.5</v>
      </c>
      <c r="J33" s="31">
        <v>3000</v>
      </c>
      <c r="K33" s="32">
        <v>8000</v>
      </c>
      <c r="L33" s="33">
        <f t="shared" si="2"/>
        <v>-5000</v>
      </c>
      <c r="M33" s="28">
        <f t="shared" si="3"/>
        <v>2322.5</v>
      </c>
      <c r="N33" s="31">
        <v>2000</v>
      </c>
      <c r="O33" s="32">
        <v>5000</v>
      </c>
      <c r="P33" s="33">
        <f t="shared" si="4"/>
        <v>-3000</v>
      </c>
    </row>
    <row r="34" spans="1:18" x14ac:dyDescent="0.35">
      <c r="A34" s="18" t="s">
        <v>48</v>
      </c>
      <c r="B34" s="15"/>
      <c r="C34" s="13"/>
      <c r="D34" s="64">
        <f>2906.4+1887.8+1440</f>
        <v>6234.2</v>
      </c>
      <c r="E34" s="63">
        <v>6850</v>
      </c>
      <c r="F34" s="65">
        <f t="shared" si="14"/>
        <v>-615.80000000000018</v>
      </c>
      <c r="G34" s="39">
        <f>231</f>
        <v>231</v>
      </c>
      <c r="H34" s="40">
        <f>SUM(6580)</f>
        <v>6580</v>
      </c>
      <c r="I34" s="41">
        <f t="shared" si="15"/>
        <v>-6349</v>
      </c>
      <c r="J34" s="31">
        <v>5000</v>
      </c>
      <c r="K34" s="32">
        <v>7000</v>
      </c>
      <c r="L34" s="33">
        <f t="shared" si="2"/>
        <v>-2000</v>
      </c>
      <c r="M34" s="28">
        <f t="shared" si="3"/>
        <v>-4349</v>
      </c>
      <c r="N34" s="31">
        <v>4000</v>
      </c>
      <c r="O34" s="32"/>
      <c r="P34" s="33">
        <f t="shared" si="4"/>
        <v>4000</v>
      </c>
      <c r="R34" t="s">
        <v>80</v>
      </c>
    </row>
    <row r="35" spans="1:18" x14ac:dyDescent="0.35">
      <c r="A35" s="18" t="s">
        <v>49</v>
      </c>
      <c r="B35" s="15"/>
      <c r="C35" s="13"/>
      <c r="D35" s="64">
        <f>200+100+300+100+100</f>
        <v>800</v>
      </c>
      <c r="E35" s="70"/>
      <c r="F35" s="65">
        <f t="shared" si="14"/>
        <v>800</v>
      </c>
      <c r="G35" s="39">
        <f>300+800+600+400+300+200+100</f>
        <v>2700</v>
      </c>
      <c r="H35" s="57"/>
      <c r="I35" s="41">
        <f t="shared" ref="I35:I40" si="16">G35-H35</f>
        <v>2700</v>
      </c>
      <c r="J35" s="31">
        <v>1000</v>
      </c>
      <c r="K35" s="32"/>
      <c r="L35" s="33">
        <f t="shared" si="2"/>
        <v>1000</v>
      </c>
      <c r="M35" s="28">
        <f t="shared" si="3"/>
        <v>1700</v>
      </c>
      <c r="N35" s="31">
        <v>2000</v>
      </c>
      <c r="O35" s="32"/>
      <c r="P35" s="33">
        <f t="shared" si="4"/>
        <v>2000</v>
      </c>
    </row>
    <row r="36" spans="1:18" ht="15" thickBot="1" x14ac:dyDescent="0.4">
      <c r="A36" s="18"/>
      <c r="B36" s="15"/>
      <c r="C36" s="13"/>
      <c r="D36" s="71">
        <f t="shared" ref="D36:I36" si="17">SUM(D28:D35)</f>
        <v>10058.450000000001</v>
      </c>
      <c r="E36" s="72">
        <f t="shared" si="17"/>
        <v>37490.009999999995</v>
      </c>
      <c r="F36" s="73">
        <f t="shared" si="17"/>
        <v>-27431.559999999998</v>
      </c>
      <c r="G36" s="54">
        <f t="shared" si="17"/>
        <v>5247.5</v>
      </c>
      <c r="H36" s="55">
        <f t="shared" si="17"/>
        <v>51556.99</v>
      </c>
      <c r="I36" s="56">
        <f t="shared" si="17"/>
        <v>-46309.49</v>
      </c>
      <c r="J36" s="31"/>
      <c r="K36" s="32"/>
      <c r="L36" s="33">
        <f t="shared" si="2"/>
        <v>0</v>
      </c>
      <c r="M36" s="28"/>
      <c r="N36" s="31"/>
      <c r="O36" s="32"/>
      <c r="P36" s="33">
        <f t="shared" si="4"/>
        <v>0</v>
      </c>
    </row>
    <row r="37" spans="1:18" ht="15" thickTop="1" x14ac:dyDescent="0.35">
      <c r="A37" s="18"/>
      <c r="B37" s="15"/>
      <c r="C37" s="13"/>
      <c r="D37" s="64"/>
      <c r="E37" s="63"/>
      <c r="F37" s="65"/>
      <c r="G37" s="39"/>
      <c r="H37" s="40"/>
      <c r="I37" s="41"/>
      <c r="J37" s="31"/>
      <c r="K37" s="32"/>
      <c r="L37" s="33">
        <f t="shared" si="2"/>
        <v>0</v>
      </c>
      <c r="M37" s="28">
        <f t="shared" si="3"/>
        <v>0</v>
      </c>
      <c r="N37" s="31"/>
      <c r="O37" s="32"/>
      <c r="P37" s="33">
        <f t="shared" si="4"/>
        <v>0</v>
      </c>
    </row>
    <row r="38" spans="1:18" x14ac:dyDescent="0.35">
      <c r="A38" s="61" t="s">
        <v>12</v>
      </c>
      <c r="B38" s="15"/>
      <c r="C38" s="13">
        <v>-24418.13</v>
      </c>
      <c r="D38" s="64"/>
      <c r="E38" s="63"/>
      <c r="F38" s="65">
        <f t="shared" ref="F38:F43" si="18">D38-E38</f>
        <v>0</v>
      </c>
      <c r="G38" s="39"/>
      <c r="H38" s="40"/>
      <c r="I38" s="41">
        <f t="shared" si="16"/>
        <v>0</v>
      </c>
      <c r="J38" s="31"/>
      <c r="K38" s="32"/>
      <c r="L38" s="33">
        <f t="shared" si="2"/>
        <v>0</v>
      </c>
      <c r="M38" s="28">
        <f t="shared" si="3"/>
        <v>0</v>
      </c>
      <c r="N38" s="31"/>
      <c r="O38" s="32"/>
      <c r="P38" s="33">
        <f t="shared" si="4"/>
        <v>0</v>
      </c>
      <c r="R38" t="s">
        <v>81</v>
      </c>
    </row>
    <row r="39" spans="1:18" x14ac:dyDescent="0.35">
      <c r="A39" s="16" t="s">
        <v>67</v>
      </c>
      <c r="B39" s="15"/>
      <c r="C39" s="13"/>
      <c r="D39" s="64">
        <f>1500+1028.5</f>
        <v>2528.5</v>
      </c>
      <c r="E39" s="63">
        <v>707.75</v>
      </c>
      <c r="F39" s="65">
        <f>D39-E39</f>
        <v>1820.75</v>
      </c>
      <c r="G39" s="39"/>
      <c r="H39" s="40"/>
      <c r="I39" s="41">
        <f t="shared" si="16"/>
        <v>0</v>
      </c>
      <c r="J39" s="31">
        <v>6000</v>
      </c>
      <c r="K39" s="32">
        <v>1000</v>
      </c>
      <c r="L39" s="33">
        <f t="shared" si="2"/>
        <v>5000</v>
      </c>
      <c r="M39" s="28">
        <f t="shared" si="3"/>
        <v>-5000</v>
      </c>
      <c r="N39" s="31"/>
      <c r="O39" s="32"/>
      <c r="P39" s="33">
        <f t="shared" si="4"/>
        <v>0</v>
      </c>
    </row>
    <row r="40" spans="1:18" x14ac:dyDescent="0.35">
      <c r="A40" s="24" t="s">
        <v>51</v>
      </c>
      <c r="B40" s="15"/>
      <c r="C40" s="13">
        <v>-31600</v>
      </c>
      <c r="D40" s="64"/>
      <c r="E40" s="63">
        <v>33702.28</v>
      </c>
      <c r="F40" s="65">
        <f t="shared" si="18"/>
        <v>-33702.28</v>
      </c>
      <c r="G40" s="39"/>
      <c r="H40" s="40">
        <v>7713</v>
      </c>
      <c r="I40" s="41">
        <f t="shared" si="16"/>
        <v>-7713</v>
      </c>
      <c r="J40" s="31"/>
      <c r="K40" s="32">
        <v>25000</v>
      </c>
      <c r="L40" s="33">
        <f t="shared" si="2"/>
        <v>-25000</v>
      </c>
      <c r="M40" s="28">
        <f t="shared" si="3"/>
        <v>17287</v>
      </c>
      <c r="N40" s="31"/>
      <c r="O40" s="32">
        <v>15000</v>
      </c>
      <c r="P40" s="33">
        <f t="shared" si="4"/>
        <v>-15000</v>
      </c>
      <c r="R40" t="s">
        <v>85</v>
      </c>
    </row>
    <row r="41" spans="1:18" x14ac:dyDescent="0.35">
      <c r="A41" s="18" t="s">
        <v>7</v>
      </c>
      <c r="B41" s="15"/>
      <c r="C41" s="13">
        <v>-14108</v>
      </c>
      <c r="D41" s="64"/>
      <c r="E41" s="63"/>
      <c r="F41" s="65">
        <f t="shared" si="18"/>
        <v>0</v>
      </c>
      <c r="G41" s="39"/>
      <c r="H41" s="40"/>
      <c r="I41" s="41">
        <f t="shared" si="15"/>
        <v>0</v>
      </c>
      <c r="J41" s="31"/>
      <c r="K41" s="32"/>
      <c r="L41" s="33">
        <f t="shared" si="2"/>
        <v>0</v>
      </c>
      <c r="M41" s="28">
        <f t="shared" si="3"/>
        <v>0</v>
      </c>
      <c r="N41" s="31"/>
      <c r="O41" s="32"/>
      <c r="P41" s="33">
        <f t="shared" si="4"/>
        <v>0</v>
      </c>
    </row>
    <row r="42" spans="1:18" x14ac:dyDescent="0.35">
      <c r="A42" s="18" t="s">
        <v>23</v>
      </c>
      <c r="B42" s="15"/>
      <c r="C42" s="13">
        <v>-8065</v>
      </c>
      <c r="D42" s="64"/>
      <c r="E42" s="63"/>
      <c r="F42" s="65">
        <f t="shared" si="18"/>
        <v>0</v>
      </c>
      <c r="G42" s="39"/>
      <c r="H42" s="40"/>
      <c r="I42" s="41">
        <f t="shared" si="15"/>
        <v>0</v>
      </c>
      <c r="J42" s="31"/>
      <c r="K42" s="32"/>
      <c r="L42" s="33">
        <f t="shared" si="2"/>
        <v>0</v>
      </c>
      <c r="M42" s="28">
        <f t="shared" si="3"/>
        <v>0</v>
      </c>
      <c r="N42" s="31"/>
      <c r="O42" s="32"/>
      <c r="P42" s="33">
        <f t="shared" si="4"/>
        <v>0</v>
      </c>
    </row>
    <row r="43" spans="1:18" x14ac:dyDescent="0.35">
      <c r="A43" s="18" t="s">
        <v>50</v>
      </c>
      <c r="B43" s="15"/>
      <c r="C43" s="13"/>
      <c r="D43" s="64"/>
      <c r="E43" s="63">
        <v>1589</v>
      </c>
      <c r="F43" s="65">
        <f t="shared" si="18"/>
        <v>-1589</v>
      </c>
      <c r="G43" s="39"/>
      <c r="H43" s="40">
        <v>1474</v>
      </c>
      <c r="I43" s="41">
        <f t="shared" ref="I43" si="19">G43-H43</f>
        <v>-1474</v>
      </c>
      <c r="J43" s="31"/>
      <c r="K43" s="32">
        <v>1600</v>
      </c>
      <c r="L43" s="33">
        <f t="shared" si="2"/>
        <v>-1600</v>
      </c>
      <c r="M43" s="28">
        <f t="shared" si="3"/>
        <v>126</v>
      </c>
      <c r="N43" s="31"/>
      <c r="O43" s="32">
        <v>1500</v>
      </c>
      <c r="P43" s="33">
        <f t="shared" si="4"/>
        <v>-1500</v>
      </c>
    </row>
    <row r="44" spans="1:18" ht="15" thickBot="1" x14ac:dyDescent="0.4">
      <c r="A44" s="18"/>
      <c r="B44" s="15"/>
      <c r="C44" s="13"/>
      <c r="D44" s="66">
        <f t="shared" ref="D44:I44" si="20">SUM(D38:D43)</f>
        <v>2528.5</v>
      </c>
      <c r="E44" s="66">
        <f t="shared" si="20"/>
        <v>35999.03</v>
      </c>
      <c r="F44" s="66">
        <f t="shared" si="20"/>
        <v>-33470.53</v>
      </c>
      <c r="G44" s="42">
        <f t="shared" si="20"/>
        <v>0</v>
      </c>
      <c r="H44" s="42">
        <f t="shared" si="20"/>
        <v>9187</v>
      </c>
      <c r="I44" s="42">
        <f t="shared" si="20"/>
        <v>-9187</v>
      </c>
      <c r="J44" s="31"/>
      <c r="K44" s="32"/>
      <c r="L44" s="33">
        <f t="shared" si="2"/>
        <v>0</v>
      </c>
      <c r="M44" s="28"/>
      <c r="N44" s="31"/>
      <c r="O44" s="32"/>
      <c r="P44" s="33">
        <f t="shared" si="4"/>
        <v>0</v>
      </c>
    </row>
    <row r="45" spans="1:18" ht="15" thickTop="1" x14ac:dyDescent="0.35">
      <c r="A45" s="18"/>
      <c r="B45" s="15"/>
      <c r="C45" s="13"/>
      <c r="D45" s="64"/>
      <c r="E45" s="74"/>
      <c r="F45" s="74"/>
      <c r="G45" s="39"/>
      <c r="H45" s="46"/>
      <c r="I45" s="46"/>
      <c r="J45" s="31"/>
      <c r="K45" s="32"/>
      <c r="L45" s="33">
        <f t="shared" si="2"/>
        <v>0</v>
      </c>
      <c r="M45" s="28">
        <f t="shared" si="3"/>
        <v>0</v>
      </c>
      <c r="N45" s="31"/>
      <c r="O45" s="32"/>
      <c r="P45" s="33">
        <f t="shared" si="4"/>
        <v>0</v>
      </c>
    </row>
    <row r="46" spans="1:18" x14ac:dyDescent="0.35">
      <c r="A46" s="18" t="s">
        <v>65</v>
      </c>
      <c r="B46" s="15"/>
      <c r="C46" s="13">
        <v>15</v>
      </c>
      <c r="D46" s="64"/>
      <c r="E46" s="75"/>
      <c r="F46" s="76">
        <f>D46-E46</f>
        <v>0</v>
      </c>
      <c r="G46" s="39"/>
      <c r="H46" s="47"/>
      <c r="I46" s="48">
        <f>G46-H46</f>
        <v>0</v>
      </c>
      <c r="J46" s="31"/>
      <c r="K46" s="32"/>
      <c r="L46" s="33">
        <f t="shared" si="2"/>
        <v>0</v>
      </c>
      <c r="M46" s="28">
        <f t="shared" si="3"/>
        <v>0</v>
      </c>
      <c r="N46" s="31"/>
      <c r="O46" s="32"/>
      <c r="P46" s="33">
        <f t="shared" si="4"/>
        <v>0</v>
      </c>
    </row>
    <row r="47" spans="1:18" x14ac:dyDescent="0.35">
      <c r="A47" s="18" t="s">
        <v>35</v>
      </c>
      <c r="B47" s="15"/>
      <c r="C47" s="13"/>
      <c r="D47" s="64"/>
      <c r="E47" s="75"/>
      <c r="F47" s="76">
        <f t="shared" ref="F47:F48" si="21">D47-E47</f>
        <v>0</v>
      </c>
      <c r="G47" s="39"/>
      <c r="H47" s="47"/>
      <c r="I47" s="48">
        <f t="shared" ref="I47:I48" si="22">G47-H47</f>
        <v>0</v>
      </c>
      <c r="J47" s="31"/>
      <c r="K47" s="32"/>
      <c r="L47" s="33">
        <f t="shared" si="2"/>
        <v>0</v>
      </c>
      <c r="M47" s="28">
        <f t="shared" si="3"/>
        <v>0</v>
      </c>
      <c r="N47" s="31"/>
      <c r="O47" s="32"/>
      <c r="P47" s="33">
        <f t="shared" si="4"/>
        <v>0</v>
      </c>
    </row>
    <row r="48" spans="1:18" x14ac:dyDescent="0.35">
      <c r="A48" s="18" t="s">
        <v>66</v>
      </c>
      <c r="B48" s="15"/>
      <c r="C48" s="13"/>
      <c r="D48" s="64"/>
      <c r="E48" s="75">
        <v>17100.36</v>
      </c>
      <c r="F48" s="76">
        <f t="shared" si="21"/>
        <v>-17100.36</v>
      </c>
      <c r="G48" s="39"/>
      <c r="H48" s="47">
        <v>6084.64</v>
      </c>
      <c r="I48" s="48">
        <f t="shared" si="22"/>
        <v>-6084.64</v>
      </c>
      <c r="J48" s="31"/>
      <c r="K48" s="32">
        <v>25000</v>
      </c>
      <c r="L48" s="33">
        <f t="shared" si="2"/>
        <v>-25000</v>
      </c>
      <c r="M48" s="28">
        <f t="shared" si="3"/>
        <v>18915.36</v>
      </c>
      <c r="N48" s="31">
        <v>5000</v>
      </c>
      <c r="O48" s="32">
        <v>5000</v>
      </c>
      <c r="P48" s="33">
        <f t="shared" si="4"/>
        <v>0</v>
      </c>
      <c r="R48" t="s">
        <v>82</v>
      </c>
    </row>
    <row r="49" spans="1:16" ht="15" thickBot="1" x14ac:dyDescent="0.4">
      <c r="A49" s="18"/>
      <c r="B49" s="15"/>
      <c r="C49" s="13"/>
      <c r="D49" s="66">
        <f>SUM(D46:D48)</f>
        <v>0</v>
      </c>
      <c r="E49" s="66">
        <f t="shared" ref="E49:F49" si="23">SUM(E46:E48)</f>
        <v>17100.36</v>
      </c>
      <c r="F49" s="77">
        <f t="shared" si="23"/>
        <v>-17100.36</v>
      </c>
      <c r="G49" s="42">
        <f>SUM(G46:G48)</f>
        <v>0</v>
      </c>
      <c r="H49" s="42">
        <f t="shared" ref="H49:I49" si="24">SUM(H46:H48)</f>
        <v>6084.64</v>
      </c>
      <c r="I49" s="49">
        <f t="shared" si="24"/>
        <v>-6084.64</v>
      </c>
      <c r="J49" s="31"/>
      <c r="K49" s="32"/>
      <c r="L49" s="33">
        <f t="shared" si="2"/>
        <v>0</v>
      </c>
      <c r="M49" s="28"/>
      <c r="N49" s="31"/>
      <c r="O49" s="32"/>
      <c r="P49" s="33">
        <f t="shared" si="4"/>
        <v>0</v>
      </c>
    </row>
    <row r="50" spans="1:16" ht="15" thickTop="1" x14ac:dyDescent="0.35">
      <c r="A50" s="61" t="s">
        <v>5</v>
      </c>
      <c r="B50" s="15"/>
      <c r="C50" s="13"/>
      <c r="D50" s="64"/>
      <c r="E50" s="74"/>
      <c r="F50" s="65"/>
      <c r="G50" s="39"/>
      <c r="H50" s="46"/>
      <c r="I50" s="41"/>
      <c r="J50" s="31"/>
      <c r="K50" s="32"/>
      <c r="L50" s="33">
        <f t="shared" si="2"/>
        <v>0</v>
      </c>
      <c r="M50" s="28">
        <f t="shared" si="3"/>
        <v>0</v>
      </c>
      <c r="N50" s="31"/>
      <c r="O50" s="32"/>
      <c r="P50" s="33">
        <f t="shared" si="4"/>
        <v>0</v>
      </c>
    </row>
    <row r="51" spans="1:16" x14ac:dyDescent="0.35">
      <c r="A51" s="16" t="s">
        <v>16</v>
      </c>
      <c r="B51" s="15"/>
      <c r="C51" s="13">
        <v>-8350</v>
      </c>
      <c r="D51" s="64"/>
      <c r="E51" s="75">
        <f>5775+2000</f>
        <v>7775</v>
      </c>
      <c r="F51" s="76">
        <f t="shared" ref="F51:F56" si="25">D51-E51</f>
        <v>-7775</v>
      </c>
      <c r="G51" s="39"/>
      <c r="H51" s="47"/>
      <c r="I51" s="48">
        <f t="shared" ref="I51:I68" si="26">G51-H51</f>
        <v>0</v>
      </c>
      <c r="J51" s="31"/>
      <c r="K51" s="32">
        <v>7000</v>
      </c>
      <c r="L51" s="33">
        <f t="shared" si="2"/>
        <v>-7000</v>
      </c>
      <c r="M51" s="28">
        <f t="shared" si="3"/>
        <v>7000</v>
      </c>
      <c r="N51" s="31"/>
      <c r="O51" s="32">
        <v>7000</v>
      </c>
      <c r="P51" s="33">
        <f t="shared" si="4"/>
        <v>-7000</v>
      </c>
    </row>
    <row r="52" spans="1:16" x14ac:dyDescent="0.35">
      <c r="A52" s="16" t="s">
        <v>18</v>
      </c>
      <c r="B52" s="15"/>
      <c r="C52" s="13">
        <v>0</v>
      </c>
      <c r="D52" s="64"/>
      <c r="E52" s="75"/>
      <c r="F52" s="76">
        <f t="shared" si="25"/>
        <v>0</v>
      </c>
      <c r="G52" s="39"/>
      <c r="H52" s="47"/>
      <c r="I52" s="48">
        <f t="shared" si="26"/>
        <v>0</v>
      </c>
      <c r="J52" s="31"/>
      <c r="K52" s="32">
        <v>2000</v>
      </c>
      <c r="L52" s="33">
        <f t="shared" si="2"/>
        <v>-2000</v>
      </c>
      <c r="M52" s="28">
        <f t="shared" si="3"/>
        <v>2000</v>
      </c>
      <c r="N52" s="31"/>
      <c r="O52" s="32">
        <v>2000</v>
      </c>
      <c r="P52" s="33">
        <f t="shared" si="4"/>
        <v>-2000</v>
      </c>
    </row>
    <row r="53" spans="1:16" x14ac:dyDescent="0.35">
      <c r="A53" s="16" t="s">
        <v>27</v>
      </c>
      <c r="B53" s="15"/>
      <c r="C53" s="13">
        <v>-2800</v>
      </c>
      <c r="D53" s="64"/>
      <c r="E53" s="75"/>
      <c r="F53" s="76">
        <f t="shared" si="25"/>
        <v>0</v>
      </c>
      <c r="G53" s="39"/>
      <c r="H53" s="47"/>
      <c r="I53" s="48">
        <f t="shared" si="26"/>
        <v>0</v>
      </c>
      <c r="J53" s="31"/>
      <c r="K53" s="32"/>
      <c r="L53" s="33">
        <f t="shared" si="2"/>
        <v>0</v>
      </c>
      <c r="M53" s="28">
        <f t="shared" si="3"/>
        <v>0</v>
      </c>
      <c r="N53" s="31"/>
      <c r="O53" s="32"/>
      <c r="P53" s="33">
        <f t="shared" si="4"/>
        <v>0</v>
      </c>
    </row>
    <row r="54" spans="1:16" x14ac:dyDescent="0.35">
      <c r="A54" s="16" t="s">
        <v>7</v>
      </c>
      <c r="B54" s="15"/>
      <c r="C54" s="13">
        <v>-1920</v>
      </c>
      <c r="D54" s="64"/>
      <c r="E54" s="75">
        <v>25789</v>
      </c>
      <c r="F54" s="76">
        <f t="shared" si="25"/>
        <v>-25789</v>
      </c>
      <c r="G54" s="39"/>
      <c r="H54" s="47">
        <v>24592</v>
      </c>
      <c r="I54" s="48">
        <f t="shared" si="26"/>
        <v>-24592</v>
      </c>
      <c r="J54" s="31"/>
      <c r="K54" s="32">
        <v>27000</v>
      </c>
      <c r="L54" s="33">
        <f t="shared" si="2"/>
        <v>-27000</v>
      </c>
      <c r="M54" s="28">
        <f t="shared" si="3"/>
        <v>2408</v>
      </c>
      <c r="N54" s="31"/>
      <c r="O54" s="32">
        <v>25000</v>
      </c>
      <c r="P54" s="33">
        <f t="shared" si="4"/>
        <v>-25000</v>
      </c>
    </row>
    <row r="55" spans="1:16" x14ac:dyDescent="0.35">
      <c r="A55" s="19" t="s">
        <v>15</v>
      </c>
      <c r="B55" s="15"/>
      <c r="C55" s="13">
        <v>-2118.3000000000002</v>
      </c>
      <c r="D55" s="64">
        <v>1.5</v>
      </c>
      <c r="E55" s="75">
        <v>4610.9799999999996</v>
      </c>
      <c r="F55" s="76">
        <f t="shared" si="25"/>
        <v>-4609.4799999999996</v>
      </c>
      <c r="G55" s="39"/>
      <c r="H55" s="47">
        <v>2245.56</v>
      </c>
      <c r="I55" s="48">
        <f t="shared" si="26"/>
        <v>-2245.56</v>
      </c>
      <c r="J55" s="31"/>
      <c r="K55" s="32">
        <v>4500</v>
      </c>
      <c r="L55" s="33">
        <f t="shared" si="2"/>
        <v>-4500</v>
      </c>
      <c r="M55" s="28">
        <f t="shared" si="3"/>
        <v>2254.44</v>
      </c>
      <c r="N55" s="31"/>
      <c r="O55" s="32">
        <v>2200</v>
      </c>
      <c r="P55" s="33">
        <f t="shared" si="4"/>
        <v>-2200</v>
      </c>
    </row>
    <row r="56" spans="1:16" x14ac:dyDescent="0.35">
      <c r="A56" s="19" t="s">
        <v>4</v>
      </c>
      <c r="B56" s="22"/>
      <c r="C56" s="23">
        <v>558.88</v>
      </c>
      <c r="D56" s="64">
        <v>2181.9499999999998</v>
      </c>
      <c r="E56" s="78"/>
      <c r="F56" s="76">
        <f t="shared" si="25"/>
        <v>2181.9499999999998</v>
      </c>
      <c r="G56" s="39">
        <v>310.17</v>
      </c>
      <c r="H56" s="50"/>
      <c r="I56" s="48">
        <f t="shared" si="26"/>
        <v>310.17</v>
      </c>
      <c r="J56" s="31">
        <v>2500</v>
      </c>
      <c r="K56" s="34"/>
      <c r="L56" s="33">
        <f t="shared" si="2"/>
        <v>2500</v>
      </c>
      <c r="M56" s="28">
        <f t="shared" si="3"/>
        <v>-2189.83</v>
      </c>
      <c r="N56" s="31">
        <v>200</v>
      </c>
      <c r="O56" s="34"/>
      <c r="P56" s="33">
        <f t="shared" si="4"/>
        <v>200</v>
      </c>
    </row>
    <row r="57" spans="1:16" ht="15" thickBot="1" x14ac:dyDescent="0.4">
      <c r="A57" s="19"/>
      <c r="B57" s="22"/>
      <c r="C57" s="23"/>
      <c r="D57" s="71">
        <f t="shared" ref="D57:I57" si="27">SUM(D51:D56)</f>
        <v>2183.4499999999998</v>
      </c>
      <c r="E57" s="79">
        <f t="shared" si="27"/>
        <v>38174.979999999996</v>
      </c>
      <c r="F57" s="80">
        <f t="shared" si="27"/>
        <v>-35991.53</v>
      </c>
      <c r="G57" s="54">
        <f t="shared" si="27"/>
        <v>310.17</v>
      </c>
      <c r="H57" s="58">
        <f t="shared" si="27"/>
        <v>26837.56</v>
      </c>
      <c r="I57" s="59">
        <f t="shared" si="27"/>
        <v>-26527.390000000003</v>
      </c>
      <c r="J57" s="31"/>
      <c r="K57" s="34"/>
      <c r="L57" s="33">
        <f t="shared" si="2"/>
        <v>0</v>
      </c>
      <c r="M57" s="28"/>
      <c r="N57" s="31"/>
      <c r="O57" s="34"/>
      <c r="P57" s="33">
        <f t="shared" si="4"/>
        <v>0</v>
      </c>
    </row>
    <row r="58" spans="1:16" ht="15" thickTop="1" x14ac:dyDescent="0.35">
      <c r="A58" s="19"/>
      <c r="B58" s="22"/>
      <c r="C58" s="23"/>
      <c r="D58" s="64"/>
      <c r="E58" s="78"/>
      <c r="F58" s="76"/>
      <c r="G58" s="39"/>
      <c r="H58" s="50"/>
      <c r="I58" s="48">
        <f t="shared" si="26"/>
        <v>0</v>
      </c>
      <c r="J58" s="31"/>
      <c r="K58" s="34"/>
      <c r="L58" s="33">
        <f t="shared" si="2"/>
        <v>0</v>
      </c>
      <c r="M58" s="28">
        <f t="shared" si="3"/>
        <v>0</v>
      </c>
      <c r="N58" s="31"/>
      <c r="O58" s="34"/>
      <c r="P58" s="33">
        <f t="shared" si="4"/>
        <v>0</v>
      </c>
    </row>
    <row r="59" spans="1:16" x14ac:dyDescent="0.35">
      <c r="A59" s="16" t="s">
        <v>5</v>
      </c>
      <c r="B59" s="15"/>
      <c r="C59" s="13">
        <v>-5723.7100000000009</v>
      </c>
      <c r="D59" s="81"/>
      <c r="E59" s="75"/>
      <c r="F59" s="76">
        <f t="shared" ref="F59:F68" si="28">D59-E59</f>
        <v>0</v>
      </c>
      <c r="G59" s="51"/>
      <c r="H59" s="47"/>
      <c r="I59" s="48">
        <f t="shared" si="26"/>
        <v>0</v>
      </c>
      <c r="J59" s="35"/>
      <c r="K59" s="32"/>
      <c r="L59" s="33">
        <f t="shared" si="2"/>
        <v>0</v>
      </c>
      <c r="M59" s="28">
        <f t="shared" si="3"/>
        <v>0</v>
      </c>
      <c r="N59" s="35"/>
      <c r="O59" s="32"/>
      <c r="P59" s="33">
        <f t="shared" si="4"/>
        <v>0</v>
      </c>
    </row>
    <row r="60" spans="1:16" x14ac:dyDescent="0.35">
      <c r="A60" s="18" t="s">
        <v>21</v>
      </c>
      <c r="B60" s="15"/>
      <c r="C60" s="13">
        <v>-4886</v>
      </c>
      <c r="D60" s="64"/>
      <c r="E60" s="75"/>
      <c r="F60" s="76">
        <f t="shared" si="28"/>
        <v>0</v>
      </c>
      <c r="G60" s="39"/>
      <c r="H60" s="47"/>
      <c r="I60" s="48">
        <f t="shared" si="26"/>
        <v>0</v>
      </c>
      <c r="J60" s="31"/>
      <c r="K60" s="32">
        <v>2000</v>
      </c>
      <c r="L60" s="33">
        <f t="shared" si="2"/>
        <v>-2000</v>
      </c>
      <c r="M60" s="28">
        <f t="shared" si="3"/>
        <v>2000</v>
      </c>
      <c r="N60" s="31"/>
      <c r="O60" s="32"/>
      <c r="P60" s="33">
        <f t="shared" si="4"/>
        <v>0</v>
      </c>
    </row>
    <row r="61" spans="1:16" x14ac:dyDescent="0.35">
      <c r="A61" s="16"/>
      <c r="B61" s="15"/>
      <c r="C61" s="13">
        <v>0</v>
      </c>
      <c r="D61" s="64"/>
      <c r="E61" s="75"/>
      <c r="F61" s="76">
        <f t="shared" si="28"/>
        <v>0</v>
      </c>
      <c r="G61" s="39"/>
      <c r="H61" s="47"/>
      <c r="I61" s="48">
        <f t="shared" si="26"/>
        <v>0</v>
      </c>
      <c r="J61" s="31"/>
      <c r="K61" s="32"/>
      <c r="L61" s="33">
        <f t="shared" si="2"/>
        <v>0</v>
      </c>
      <c r="M61" s="28">
        <f t="shared" si="3"/>
        <v>0</v>
      </c>
      <c r="N61" s="31"/>
      <c r="O61" s="32"/>
      <c r="P61" s="33">
        <f t="shared" si="4"/>
        <v>0</v>
      </c>
    </row>
    <row r="62" spans="1:16" x14ac:dyDescent="0.35">
      <c r="A62" s="18" t="s">
        <v>83</v>
      </c>
      <c r="B62" s="15"/>
      <c r="C62" s="13">
        <v>1022.1800000000003</v>
      </c>
      <c r="D62" s="64"/>
      <c r="E62" s="75"/>
      <c r="F62" s="76">
        <f t="shared" si="28"/>
        <v>0</v>
      </c>
      <c r="G62" s="39"/>
      <c r="H62" s="47"/>
      <c r="I62" s="48">
        <f t="shared" si="26"/>
        <v>0</v>
      </c>
      <c r="J62" s="31">
        <v>20000</v>
      </c>
      <c r="K62" s="32">
        <v>20000</v>
      </c>
      <c r="L62" s="33">
        <f t="shared" si="2"/>
        <v>0</v>
      </c>
      <c r="M62" s="28">
        <f t="shared" si="3"/>
        <v>0</v>
      </c>
      <c r="N62" s="31"/>
      <c r="O62" s="32"/>
      <c r="P62" s="33">
        <f t="shared" si="4"/>
        <v>0</v>
      </c>
    </row>
    <row r="63" spans="1:16" x14ac:dyDescent="0.35">
      <c r="A63" s="18"/>
      <c r="B63" s="15"/>
      <c r="C63" s="13"/>
      <c r="D63" s="64"/>
      <c r="E63" s="63"/>
      <c r="F63" s="76">
        <f t="shared" si="28"/>
        <v>0</v>
      </c>
      <c r="G63" s="39"/>
      <c r="H63" s="40"/>
      <c r="I63" s="48">
        <f t="shared" si="26"/>
        <v>0</v>
      </c>
      <c r="J63" s="31"/>
      <c r="K63" s="32"/>
      <c r="L63" s="33">
        <f t="shared" si="2"/>
        <v>0</v>
      </c>
      <c r="M63" s="28">
        <f t="shared" si="3"/>
        <v>0</v>
      </c>
      <c r="N63" s="31"/>
      <c r="O63" s="32"/>
      <c r="P63" s="33">
        <f t="shared" si="4"/>
        <v>0</v>
      </c>
    </row>
    <row r="64" spans="1:16" x14ac:dyDescent="0.35">
      <c r="A64" s="19" t="s">
        <v>26</v>
      </c>
      <c r="B64" s="15"/>
      <c r="C64" s="13">
        <v>0</v>
      </c>
      <c r="D64" s="64"/>
      <c r="E64" s="75"/>
      <c r="F64" s="76">
        <f t="shared" si="28"/>
        <v>0</v>
      </c>
      <c r="G64" s="39"/>
      <c r="H64" s="47"/>
      <c r="I64" s="48">
        <f t="shared" si="26"/>
        <v>0</v>
      </c>
      <c r="J64" s="31"/>
      <c r="K64" s="32"/>
      <c r="L64" s="33">
        <f t="shared" si="2"/>
        <v>0</v>
      </c>
      <c r="M64" s="28">
        <f t="shared" si="3"/>
        <v>0</v>
      </c>
      <c r="N64" s="31"/>
      <c r="O64" s="32"/>
      <c r="P64" s="33">
        <f t="shared" si="4"/>
        <v>0</v>
      </c>
    </row>
    <row r="65" spans="1:18" x14ac:dyDescent="0.35">
      <c r="A65" s="21" t="s">
        <v>37</v>
      </c>
      <c r="B65" s="15"/>
      <c r="C65" s="13"/>
      <c r="D65" s="64">
        <v>3220</v>
      </c>
      <c r="E65" s="75">
        <v>476</v>
      </c>
      <c r="F65" s="76">
        <f t="shared" si="28"/>
        <v>2744</v>
      </c>
      <c r="G65" s="39">
        <f>4516.8-590-2050</f>
        <v>1876.8000000000002</v>
      </c>
      <c r="H65" s="47">
        <f>15349.7-H68</f>
        <v>3175.7000000000007</v>
      </c>
      <c r="I65" s="48">
        <f t="shared" si="26"/>
        <v>-1298.9000000000005</v>
      </c>
      <c r="J65" s="31">
        <v>3000</v>
      </c>
      <c r="K65" s="32">
        <v>2000</v>
      </c>
      <c r="L65" s="33">
        <f t="shared" si="2"/>
        <v>1000</v>
      </c>
      <c r="M65" s="28">
        <f t="shared" si="3"/>
        <v>-2298.9000000000005</v>
      </c>
      <c r="N65" s="31">
        <v>2000</v>
      </c>
      <c r="O65" s="32">
        <v>3000</v>
      </c>
      <c r="P65" s="33">
        <f t="shared" si="4"/>
        <v>-1000</v>
      </c>
    </row>
    <row r="66" spans="1:18" x14ac:dyDescent="0.35">
      <c r="A66" s="21" t="s">
        <v>38</v>
      </c>
      <c r="B66" s="15"/>
      <c r="C66" s="13"/>
      <c r="D66" s="64">
        <f>160+560+220</f>
        <v>940</v>
      </c>
      <c r="E66" s="75"/>
      <c r="F66" s="76">
        <f t="shared" si="28"/>
        <v>940</v>
      </c>
      <c r="G66" s="39">
        <v>590</v>
      </c>
      <c r="H66" s="47">
        <v>228</v>
      </c>
      <c r="I66" s="48">
        <f t="shared" si="26"/>
        <v>362</v>
      </c>
      <c r="J66" s="31">
        <v>1000</v>
      </c>
      <c r="K66" s="32">
        <v>1000</v>
      </c>
      <c r="L66" s="33">
        <f t="shared" si="2"/>
        <v>0</v>
      </c>
      <c r="M66" s="28">
        <f t="shared" si="3"/>
        <v>362</v>
      </c>
      <c r="N66" s="31"/>
      <c r="O66" s="32"/>
      <c r="P66" s="33">
        <f t="shared" si="4"/>
        <v>0</v>
      </c>
    </row>
    <row r="67" spans="1:18" x14ac:dyDescent="0.35">
      <c r="A67" s="21" t="s">
        <v>52</v>
      </c>
      <c r="B67" s="15"/>
      <c r="C67" s="13"/>
      <c r="D67" s="64">
        <f>550+100+100+100+100</f>
        <v>950</v>
      </c>
      <c r="E67" s="75">
        <f>4895+11745+485</f>
        <v>17125</v>
      </c>
      <c r="F67" s="76">
        <f t="shared" si="28"/>
        <v>-16175</v>
      </c>
      <c r="G67" s="39">
        <v>2050</v>
      </c>
      <c r="H67" s="47"/>
      <c r="I67" s="48">
        <f t="shared" si="26"/>
        <v>2050</v>
      </c>
      <c r="J67" s="31">
        <v>1000</v>
      </c>
      <c r="K67" s="32">
        <v>5000</v>
      </c>
      <c r="L67" s="33">
        <f t="shared" si="2"/>
        <v>-4000</v>
      </c>
      <c r="M67" s="28">
        <f t="shared" si="3"/>
        <v>6050</v>
      </c>
      <c r="N67" s="31">
        <v>2000</v>
      </c>
      <c r="O67" s="32"/>
      <c r="P67" s="33">
        <f t="shared" si="4"/>
        <v>2000</v>
      </c>
      <c r="R67" t="s">
        <v>84</v>
      </c>
    </row>
    <row r="68" spans="1:18" x14ac:dyDescent="0.35">
      <c r="A68" s="21" t="s">
        <v>53</v>
      </c>
      <c r="B68" s="15"/>
      <c r="C68" s="13"/>
      <c r="D68" s="64"/>
      <c r="E68" s="75"/>
      <c r="F68" s="76">
        <f t="shared" si="28"/>
        <v>0</v>
      </c>
      <c r="G68" s="39">
        <v>12174</v>
      </c>
      <c r="H68" s="47">
        <v>12174</v>
      </c>
      <c r="I68" s="48">
        <f t="shared" si="26"/>
        <v>0</v>
      </c>
      <c r="J68" s="31"/>
      <c r="K68" s="32"/>
      <c r="L68" s="33">
        <f t="shared" si="2"/>
        <v>0</v>
      </c>
      <c r="M68" s="28">
        <f t="shared" si="3"/>
        <v>0</v>
      </c>
      <c r="N68" s="31"/>
      <c r="O68" s="32"/>
      <c r="P68" s="33">
        <f t="shared" si="4"/>
        <v>0</v>
      </c>
    </row>
    <row r="69" spans="1:18" x14ac:dyDescent="0.35">
      <c r="A69" s="21"/>
      <c r="B69" s="15"/>
      <c r="C69" s="13"/>
      <c r="D69" s="64"/>
      <c r="E69" s="75"/>
      <c r="F69" s="76"/>
      <c r="G69" s="39"/>
      <c r="H69" s="47"/>
      <c r="I69" s="48"/>
      <c r="J69" s="31"/>
      <c r="K69" s="32"/>
      <c r="L69" s="33">
        <f t="shared" ref="L69:L85" si="29">SUM(J69-K69)</f>
        <v>0</v>
      </c>
      <c r="M69" s="28">
        <f t="shared" ref="M69:M84" si="30">SUM(I69-L69)</f>
        <v>0</v>
      </c>
      <c r="N69" s="31"/>
      <c r="O69" s="32"/>
      <c r="P69" s="33">
        <f t="shared" ref="P69:P85" si="31">SUM(N69-O69)</f>
        <v>0</v>
      </c>
    </row>
    <row r="70" spans="1:18" x14ac:dyDescent="0.35">
      <c r="A70" s="61" t="s">
        <v>55</v>
      </c>
      <c r="B70" s="15"/>
      <c r="C70" s="13"/>
      <c r="D70" s="64"/>
      <c r="E70" s="75"/>
      <c r="F70" s="76"/>
      <c r="G70" s="39"/>
      <c r="H70" s="47"/>
      <c r="I70" s="48"/>
      <c r="J70" s="31"/>
      <c r="K70" s="32"/>
      <c r="L70" s="33">
        <f t="shared" si="29"/>
        <v>0</v>
      </c>
      <c r="M70" s="28">
        <f t="shared" si="30"/>
        <v>0</v>
      </c>
      <c r="N70" s="31"/>
      <c r="O70" s="32"/>
      <c r="P70" s="33">
        <f t="shared" si="31"/>
        <v>0</v>
      </c>
    </row>
    <row r="71" spans="1:18" x14ac:dyDescent="0.35">
      <c r="A71" s="36"/>
      <c r="B71" s="15"/>
      <c r="C71" s="13"/>
      <c r="D71" s="64"/>
      <c r="E71" s="75"/>
      <c r="F71" s="76">
        <f>SUM(D71-E71)</f>
        <v>0</v>
      </c>
      <c r="G71" s="39"/>
      <c r="H71" s="47"/>
      <c r="I71" s="48">
        <f>SUM(G71-H71)</f>
        <v>0</v>
      </c>
      <c r="J71" s="31"/>
      <c r="K71" s="32"/>
      <c r="L71" s="33">
        <f t="shared" si="29"/>
        <v>0</v>
      </c>
      <c r="M71" s="28">
        <f t="shared" si="30"/>
        <v>0</v>
      </c>
      <c r="N71" s="31"/>
      <c r="O71" s="32"/>
      <c r="P71" s="33">
        <f t="shared" si="31"/>
        <v>0</v>
      </c>
    </row>
    <row r="72" spans="1:18" x14ac:dyDescent="0.35">
      <c r="A72" s="36" t="s">
        <v>68</v>
      </c>
      <c r="B72" s="15"/>
      <c r="C72" s="13"/>
      <c r="D72" s="64">
        <v>1400</v>
      </c>
      <c r="E72" s="75"/>
      <c r="F72" s="76">
        <f t="shared" ref="F72:F84" si="32">SUM(D72-E72)</f>
        <v>1400</v>
      </c>
      <c r="G72" s="39">
        <v>330</v>
      </c>
      <c r="H72" s="47">
        <v>767.46</v>
      </c>
      <c r="I72" s="48">
        <f t="shared" ref="I72:I84" si="33">SUM(G72-H72)</f>
        <v>-437.46000000000004</v>
      </c>
      <c r="J72" s="31">
        <v>1500</v>
      </c>
      <c r="K72" s="32">
        <v>500</v>
      </c>
      <c r="L72" s="33">
        <f t="shared" si="29"/>
        <v>1000</v>
      </c>
      <c r="M72" s="28">
        <f t="shared" si="30"/>
        <v>-1437.46</v>
      </c>
      <c r="N72" s="31"/>
      <c r="O72" s="32"/>
      <c r="P72" s="33">
        <f t="shared" si="31"/>
        <v>0</v>
      </c>
    </row>
    <row r="73" spans="1:18" x14ac:dyDescent="0.35">
      <c r="A73" s="16" t="s">
        <v>17</v>
      </c>
      <c r="B73" s="15"/>
      <c r="C73" s="13">
        <v>-1087.5</v>
      </c>
      <c r="D73" s="64"/>
      <c r="E73" s="75">
        <v>1514</v>
      </c>
      <c r="F73" s="76">
        <f t="shared" si="32"/>
        <v>-1514</v>
      </c>
      <c r="G73" s="39"/>
      <c r="H73" s="47"/>
      <c r="I73" s="48">
        <f t="shared" si="33"/>
        <v>0</v>
      </c>
      <c r="J73" s="31"/>
      <c r="K73" s="32">
        <v>1600</v>
      </c>
      <c r="L73" s="33">
        <f t="shared" si="29"/>
        <v>-1600</v>
      </c>
      <c r="M73" s="28">
        <f t="shared" si="30"/>
        <v>1600</v>
      </c>
      <c r="N73" s="31"/>
      <c r="O73" s="32">
        <v>1500</v>
      </c>
      <c r="P73" s="33">
        <f t="shared" si="31"/>
        <v>-1500</v>
      </c>
    </row>
    <row r="74" spans="1:18" x14ac:dyDescent="0.35">
      <c r="A74" s="16" t="s">
        <v>71</v>
      </c>
      <c r="B74" s="15"/>
      <c r="C74" s="13">
        <v>1839.2999999999993</v>
      </c>
      <c r="D74" s="64"/>
      <c r="E74" s="75">
        <f>1415+1122</f>
        <v>2537</v>
      </c>
      <c r="F74" s="76">
        <f t="shared" si="32"/>
        <v>-2537</v>
      </c>
      <c r="G74" s="39"/>
      <c r="H74" s="47"/>
      <c r="I74" s="48">
        <f t="shared" si="33"/>
        <v>0</v>
      </c>
      <c r="J74" s="31">
        <v>6000</v>
      </c>
      <c r="K74" s="32">
        <v>7500</v>
      </c>
      <c r="L74" s="33">
        <f t="shared" si="29"/>
        <v>-1500</v>
      </c>
      <c r="M74" s="28">
        <f t="shared" si="30"/>
        <v>1500</v>
      </c>
      <c r="N74" s="31"/>
      <c r="O74" s="32"/>
      <c r="P74" s="33">
        <f t="shared" si="31"/>
        <v>0</v>
      </c>
    </row>
    <row r="75" spans="1:18" x14ac:dyDescent="0.35">
      <c r="A75" s="16" t="s">
        <v>13</v>
      </c>
      <c r="B75" s="15"/>
      <c r="C75" s="13">
        <v>0</v>
      </c>
      <c r="D75" s="64"/>
      <c r="E75" s="75"/>
      <c r="F75" s="76">
        <f t="shared" si="32"/>
        <v>0</v>
      </c>
      <c r="G75" s="39"/>
      <c r="H75" s="47"/>
      <c r="I75" s="48">
        <f t="shared" si="33"/>
        <v>0</v>
      </c>
      <c r="J75" s="31"/>
      <c r="K75" s="32"/>
      <c r="L75" s="33">
        <f t="shared" si="29"/>
        <v>0</v>
      </c>
      <c r="M75" s="28">
        <f t="shared" si="30"/>
        <v>0</v>
      </c>
      <c r="N75" s="31"/>
      <c r="O75" s="32"/>
      <c r="P75" s="33">
        <f t="shared" si="31"/>
        <v>0</v>
      </c>
    </row>
    <row r="76" spans="1:18" x14ac:dyDescent="0.35">
      <c r="A76" s="16" t="s">
        <v>22</v>
      </c>
      <c r="B76" s="15"/>
      <c r="C76" s="13">
        <v>0</v>
      </c>
      <c r="D76" s="64"/>
      <c r="E76" s="75">
        <v>8287</v>
      </c>
      <c r="F76" s="76">
        <f t="shared" si="32"/>
        <v>-8287</v>
      </c>
      <c r="G76" s="39"/>
      <c r="H76" s="47"/>
      <c r="I76" s="48">
        <f t="shared" si="33"/>
        <v>0</v>
      </c>
      <c r="J76" s="31"/>
      <c r="K76" s="32"/>
      <c r="L76" s="33">
        <f t="shared" si="29"/>
        <v>0</v>
      </c>
      <c r="M76" s="28">
        <f t="shared" si="30"/>
        <v>0</v>
      </c>
      <c r="N76" s="31"/>
      <c r="O76" s="32"/>
      <c r="P76" s="33">
        <f t="shared" si="31"/>
        <v>0</v>
      </c>
    </row>
    <row r="77" spans="1:18" x14ac:dyDescent="0.35">
      <c r="A77" s="19" t="s">
        <v>19</v>
      </c>
      <c r="B77" s="15"/>
      <c r="C77" s="13">
        <v>550</v>
      </c>
      <c r="D77" s="64">
        <f>250</f>
        <v>250</v>
      </c>
      <c r="E77" s="75">
        <f>3943+1000+4075</f>
        <v>9018</v>
      </c>
      <c r="F77" s="76">
        <f t="shared" si="32"/>
        <v>-8768</v>
      </c>
      <c r="G77" s="39"/>
      <c r="H77" s="47"/>
      <c r="I77" s="48">
        <f t="shared" si="33"/>
        <v>0</v>
      </c>
      <c r="J77" s="31">
        <v>500</v>
      </c>
      <c r="K77" s="32">
        <v>3000</v>
      </c>
      <c r="L77" s="33">
        <f t="shared" si="29"/>
        <v>-2500</v>
      </c>
      <c r="M77" s="28">
        <f t="shared" si="30"/>
        <v>2500</v>
      </c>
      <c r="N77" s="31">
        <v>1000</v>
      </c>
      <c r="O77" s="32">
        <v>5000</v>
      </c>
      <c r="P77" s="33">
        <f t="shared" si="31"/>
        <v>-4000</v>
      </c>
    </row>
    <row r="78" spans="1:18" x14ac:dyDescent="0.35">
      <c r="A78" s="19" t="s">
        <v>42</v>
      </c>
      <c r="B78" s="15"/>
      <c r="C78" s="13"/>
      <c r="D78" s="64"/>
      <c r="E78" s="75"/>
      <c r="F78" s="76">
        <f t="shared" si="32"/>
        <v>0</v>
      </c>
      <c r="G78" s="39"/>
      <c r="H78" s="47"/>
      <c r="I78" s="48">
        <f t="shared" si="33"/>
        <v>0</v>
      </c>
      <c r="J78" s="31"/>
      <c r="K78" s="32"/>
      <c r="L78" s="33">
        <f t="shared" si="29"/>
        <v>0</v>
      </c>
      <c r="M78" s="28">
        <f t="shared" si="30"/>
        <v>0</v>
      </c>
      <c r="N78" s="31"/>
      <c r="O78" s="32"/>
      <c r="P78" s="33">
        <f t="shared" si="31"/>
        <v>0</v>
      </c>
    </row>
    <row r="79" spans="1:18" x14ac:dyDescent="0.35">
      <c r="A79" s="19" t="s">
        <v>34</v>
      </c>
      <c r="B79" s="15"/>
      <c r="C79" s="13"/>
      <c r="D79" s="64"/>
      <c r="E79" s="75"/>
      <c r="F79" s="76">
        <f t="shared" si="32"/>
        <v>0</v>
      </c>
      <c r="G79" s="39"/>
      <c r="H79" s="47"/>
      <c r="I79" s="48">
        <f t="shared" si="33"/>
        <v>0</v>
      </c>
      <c r="J79" s="31"/>
      <c r="K79" s="32"/>
      <c r="L79" s="33">
        <f t="shared" si="29"/>
        <v>0</v>
      </c>
      <c r="M79" s="28">
        <f t="shared" si="30"/>
        <v>0</v>
      </c>
      <c r="N79" s="31"/>
      <c r="O79" s="32">
        <v>75000</v>
      </c>
      <c r="P79" s="33">
        <f t="shared" si="31"/>
        <v>-75000</v>
      </c>
      <c r="R79" t="s">
        <v>86</v>
      </c>
    </row>
    <row r="80" spans="1:18" x14ac:dyDescent="0.35">
      <c r="A80" s="19"/>
      <c r="B80" s="15"/>
      <c r="C80" s="13"/>
      <c r="D80" s="64"/>
      <c r="E80" s="75"/>
      <c r="F80" s="76"/>
      <c r="G80" s="39"/>
      <c r="H80" s="47"/>
      <c r="I80" s="48"/>
      <c r="J80" s="31"/>
      <c r="K80" s="32"/>
      <c r="L80" s="33"/>
      <c r="M80" s="28"/>
      <c r="N80" s="31"/>
      <c r="O80" s="32"/>
      <c r="P80" s="33"/>
    </row>
    <row r="81" spans="1:16" ht="15" thickBot="1" x14ac:dyDescent="0.4">
      <c r="A81" s="21"/>
      <c r="B81" s="15"/>
      <c r="C81" s="13"/>
      <c r="D81" s="71">
        <f>SUM(D59:D79)</f>
        <v>6760</v>
      </c>
      <c r="E81" s="82">
        <f>SUM(E59:E79)</f>
        <v>38957</v>
      </c>
      <c r="F81" s="80">
        <f>SUM(F59:F78)</f>
        <v>-32197</v>
      </c>
      <c r="G81" s="54">
        <f>SUM(G59:G80)</f>
        <v>17020.8</v>
      </c>
      <c r="H81" s="60">
        <f>SUM(H58:H80)</f>
        <v>16345.16</v>
      </c>
      <c r="I81" s="59">
        <f>SUM(I58:I80)</f>
        <v>675.63999999999942</v>
      </c>
      <c r="J81" s="31"/>
      <c r="K81" s="32"/>
      <c r="L81" s="33">
        <f t="shared" ref="L81" si="34">SUM(J81-K81)</f>
        <v>0</v>
      </c>
      <c r="M81" s="28"/>
      <c r="N81" s="31"/>
      <c r="O81" s="32"/>
      <c r="P81" s="33">
        <f t="shared" ref="P81" si="35">SUM(N81-O81)</f>
        <v>0</v>
      </c>
    </row>
    <row r="82" spans="1:16" ht="15" thickTop="1" x14ac:dyDescent="0.35">
      <c r="A82" s="19"/>
      <c r="B82" s="15"/>
      <c r="C82" s="13"/>
      <c r="D82" s="64"/>
      <c r="E82" s="75"/>
      <c r="F82" s="76">
        <f t="shared" si="32"/>
        <v>0</v>
      </c>
      <c r="G82" s="39"/>
      <c r="H82" s="47"/>
      <c r="I82" s="48">
        <f t="shared" si="33"/>
        <v>0</v>
      </c>
      <c r="J82" s="31"/>
      <c r="K82" s="32"/>
      <c r="L82" s="33">
        <f t="shared" si="29"/>
        <v>0</v>
      </c>
      <c r="M82" s="28">
        <f t="shared" si="30"/>
        <v>0</v>
      </c>
      <c r="N82" s="31"/>
      <c r="O82" s="32"/>
      <c r="P82" s="33">
        <f t="shared" si="31"/>
        <v>0</v>
      </c>
    </row>
    <row r="83" spans="1:16" x14ac:dyDescent="0.35">
      <c r="A83" s="19" t="s">
        <v>30</v>
      </c>
      <c r="B83" s="15"/>
      <c r="C83" s="13">
        <v>-150</v>
      </c>
      <c r="D83" s="64">
        <v>54600</v>
      </c>
      <c r="E83" s="75">
        <v>29201</v>
      </c>
      <c r="F83" s="76">
        <f t="shared" si="32"/>
        <v>25399</v>
      </c>
      <c r="G83" s="39">
        <f>51620-330</f>
        <v>51290</v>
      </c>
      <c r="H83" s="47">
        <f>37914.11-767.46</f>
        <v>37146.65</v>
      </c>
      <c r="I83" s="48">
        <f t="shared" si="33"/>
        <v>14143.349999999999</v>
      </c>
      <c r="J83" s="31">
        <v>39000</v>
      </c>
      <c r="K83" s="32">
        <v>39000</v>
      </c>
      <c r="L83" s="33">
        <f t="shared" si="29"/>
        <v>0</v>
      </c>
      <c r="M83" s="28">
        <f t="shared" si="30"/>
        <v>14143.349999999999</v>
      </c>
      <c r="N83" s="31">
        <v>50000</v>
      </c>
      <c r="O83" s="32">
        <v>40000</v>
      </c>
      <c r="P83" s="33">
        <f t="shared" si="31"/>
        <v>10000</v>
      </c>
    </row>
    <row r="84" spans="1:16" x14ac:dyDescent="0.35">
      <c r="A84" s="19"/>
      <c r="B84" s="15"/>
      <c r="C84" s="13">
        <v>0</v>
      </c>
      <c r="D84" s="64"/>
      <c r="E84" s="75"/>
      <c r="F84" s="76">
        <f t="shared" si="32"/>
        <v>0</v>
      </c>
      <c r="G84" s="39"/>
      <c r="H84" s="47"/>
      <c r="I84" s="48">
        <f t="shared" si="33"/>
        <v>0</v>
      </c>
      <c r="J84" s="31"/>
      <c r="K84" s="32"/>
      <c r="L84" s="33">
        <f t="shared" si="29"/>
        <v>0</v>
      </c>
      <c r="M84" s="28">
        <f t="shared" si="30"/>
        <v>0</v>
      </c>
      <c r="N84" s="31"/>
      <c r="O84" s="32"/>
      <c r="P84" s="33">
        <f t="shared" si="31"/>
        <v>0</v>
      </c>
    </row>
    <row r="85" spans="1:16" ht="15" thickBot="1" x14ac:dyDescent="0.4">
      <c r="A85" s="19"/>
      <c r="C85" s="13"/>
      <c r="D85" s="64">
        <f>SUM(D82:D84)</f>
        <v>54600</v>
      </c>
      <c r="E85" s="64">
        <f t="shared" ref="E85:F85" si="36">SUM(E82:E84)</f>
        <v>29201</v>
      </c>
      <c r="F85" s="64">
        <f t="shared" si="36"/>
        <v>25399</v>
      </c>
      <c r="G85" s="39">
        <f>SUM(G83:G84)</f>
        <v>51290</v>
      </c>
      <c r="H85" s="39">
        <f>SUM(H83:H84)</f>
        <v>37146.65</v>
      </c>
      <c r="I85" s="39">
        <f>SUM(I83)</f>
        <v>14143.349999999999</v>
      </c>
      <c r="J85" s="31"/>
      <c r="K85" s="32"/>
      <c r="L85" s="33">
        <f t="shared" si="29"/>
        <v>0</v>
      </c>
      <c r="M85" s="28"/>
      <c r="N85" s="31"/>
      <c r="O85" s="32"/>
      <c r="P85" s="33">
        <f t="shared" si="31"/>
        <v>0</v>
      </c>
    </row>
    <row r="86" spans="1:16" ht="15" thickBot="1" x14ac:dyDescent="0.4">
      <c r="A86" s="7" t="s">
        <v>8</v>
      </c>
      <c r="B86" s="11"/>
      <c r="C86" s="26">
        <f>SUM(C5:C84)</f>
        <v>-4739.7799999999916</v>
      </c>
      <c r="D86" s="83">
        <f>SUM(D85+D49+D44+D26+D15+D8+D57+D36+D81)</f>
        <v>400052.11000000004</v>
      </c>
      <c r="E86" s="83">
        <f>SUM(E85+E49+E44+E26+E15+E8++E57+E36+E81)</f>
        <v>286218.88</v>
      </c>
      <c r="F86" s="83">
        <f>SUM(F85+F49+F44+F26+F15+F8++F57+F36+F81)</f>
        <v>113833.22999999998</v>
      </c>
      <c r="G86" s="52">
        <f t="shared" ref="G86:O86" si="37">SUM(G85+G49+G44+G26+G15+G8+G81+G57+G36)</f>
        <v>317919.65999999997</v>
      </c>
      <c r="H86" s="52">
        <f t="shared" si="37"/>
        <v>240124.02</v>
      </c>
      <c r="I86" s="52">
        <f t="shared" si="37"/>
        <v>77795.640000000014</v>
      </c>
      <c r="J86" s="52">
        <f>SUM(J5:J85)</f>
        <v>290500</v>
      </c>
      <c r="K86" s="52">
        <f t="shared" ref="K86:L86" si="38">SUM(K5:K85)</f>
        <v>307200</v>
      </c>
      <c r="L86" s="52">
        <f t="shared" si="38"/>
        <v>-16700</v>
      </c>
      <c r="M86" s="52">
        <f t="shared" si="37"/>
        <v>0</v>
      </c>
      <c r="N86" s="52">
        <f t="shared" si="37"/>
        <v>0</v>
      </c>
      <c r="O86" s="52">
        <f t="shared" si="37"/>
        <v>0</v>
      </c>
      <c r="P86" s="30">
        <f>SUM(P5:P85)</f>
        <v>-64000</v>
      </c>
    </row>
    <row r="87" spans="1:16" x14ac:dyDescent="0.35">
      <c r="D87" s="84">
        <f>D86</f>
        <v>400052.11000000004</v>
      </c>
      <c r="E87" s="84">
        <f>SUM(E86)</f>
        <v>286218.88</v>
      </c>
      <c r="F87" s="84">
        <f>SUM(D87-E87)</f>
        <v>113833.23000000004</v>
      </c>
      <c r="G87" s="5">
        <f>G86</f>
        <v>317919.65999999997</v>
      </c>
      <c r="H87" s="5">
        <f>SUM(H86)</f>
        <v>240124.02</v>
      </c>
      <c r="I87" s="5">
        <f>SUM(G87-H87)</f>
        <v>77795.639999999985</v>
      </c>
      <c r="J87" s="3"/>
      <c r="K87" s="3"/>
      <c r="L87" s="3"/>
      <c r="M87" s="3"/>
    </row>
    <row r="88" spans="1:16" x14ac:dyDescent="0.35">
      <c r="A88" s="25" t="s">
        <v>56</v>
      </c>
      <c r="D88" s="84"/>
      <c r="E88" s="84"/>
      <c r="F88" s="84">
        <f>SUM(I89)</f>
        <v>414524.45999999996</v>
      </c>
      <c r="G88" s="1"/>
      <c r="H88" s="1"/>
      <c r="I88" s="5">
        <f>336728.82</f>
        <v>336728.82</v>
      </c>
      <c r="J88" s="3"/>
      <c r="K88" s="3"/>
    </row>
    <row r="89" spans="1:16" ht="15" thickBot="1" x14ac:dyDescent="0.4">
      <c r="A89" s="25" t="s">
        <v>87</v>
      </c>
      <c r="B89" s="12"/>
      <c r="D89" s="84"/>
      <c r="E89" s="84"/>
      <c r="F89" s="85">
        <f>SUM(F87:F88)</f>
        <v>528357.68999999994</v>
      </c>
      <c r="G89" s="1"/>
      <c r="H89" s="1"/>
      <c r="I89" s="53">
        <f>SUM(I87:I88)</f>
        <v>414524.45999999996</v>
      </c>
      <c r="J89" s="6"/>
      <c r="L89" s="3"/>
    </row>
    <row r="90" spans="1:16" ht="15" thickTop="1" x14ac:dyDescent="0.35">
      <c r="B90" s="20"/>
      <c r="D90" s="1"/>
      <c r="E90" s="1"/>
      <c r="G90" s="1"/>
      <c r="H90" s="1"/>
      <c r="J90" s="3"/>
      <c r="K90" s="4"/>
      <c r="L90" s="3"/>
      <c r="M90" s="3"/>
    </row>
    <row r="91" spans="1:16" x14ac:dyDescent="0.35">
      <c r="B91" s="20"/>
    </row>
    <row r="92" spans="1:16" x14ac:dyDescent="0.35">
      <c r="C92" s="3"/>
      <c r="D92" s="3"/>
      <c r="E92" s="3"/>
      <c r="F92" s="3"/>
      <c r="G92" s="3"/>
      <c r="H92" s="3"/>
      <c r="I92" s="3"/>
      <c r="J92" s="3"/>
    </row>
    <row r="93" spans="1:16" x14ac:dyDescent="0.35">
      <c r="B93" s="20"/>
      <c r="C93" s="3"/>
      <c r="D93" s="3"/>
      <c r="E93" s="3"/>
      <c r="F93" s="3"/>
      <c r="G93" s="3"/>
      <c r="H93" s="3"/>
      <c r="I93" s="3"/>
      <c r="J93" s="3"/>
    </row>
    <row r="94" spans="1:16" x14ac:dyDescent="0.35">
      <c r="B94" s="20"/>
      <c r="C94" s="3"/>
      <c r="D94" s="3"/>
      <c r="E94" s="3"/>
      <c r="F94" s="3"/>
      <c r="G94" s="3"/>
      <c r="H94" s="3"/>
      <c r="I94" s="3"/>
      <c r="J94" s="3"/>
    </row>
    <row r="95" spans="1:16" x14ac:dyDescent="0.35">
      <c r="B95" s="20"/>
      <c r="C95" s="3"/>
      <c r="D95" s="3"/>
      <c r="E95" s="3"/>
      <c r="F95" s="3"/>
      <c r="G95" s="3"/>
      <c r="H95" s="3"/>
      <c r="I95" s="3"/>
      <c r="J95" s="3"/>
    </row>
    <row r="96" spans="1:16" x14ac:dyDescent="0.35">
      <c r="B96" s="20"/>
      <c r="C96" s="3"/>
      <c r="D96" s="3"/>
      <c r="E96" s="3"/>
      <c r="F96" s="3"/>
      <c r="G96" s="3"/>
      <c r="H96" s="3"/>
      <c r="I96" s="3"/>
      <c r="J96" s="3"/>
    </row>
    <row r="97" spans="1:10" x14ac:dyDescent="0.35">
      <c r="B97" s="20"/>
      <c r="C97" s="4"/>
      <c r="D97" s="3"/>
      <c r="E97" s="3"/>
      <c r="F97" s="3"/>
      <c r="G97" s="3"/>
      <c r="H97" s="3"/>
      <c r="I97" s="3"/>
      <c r="J97" s="3"/>
    </row>
    <row r="98" spans="1:10" x14ac:dyDescent="0.35">
      <c r="B98" s="20"/>
      <c r="C98" s="3"/>
      <c r="D98" s="3"/>
      <c r="E98" s="3"/>
      <c r="F98" s="3"/>
      <c r="G98" s="3"/>
      <c r="H98" s="3"/>
      <c r="I98" s="3"/>
      <c r="J98" s="3"/>
    </row>
    <row r="99" spans="1:10" x14ac:dyDescent="0.35">
      <c r="B99" s="20"/>
      <c r="C99" s="3"/>
      <c r="D99" s="3"/>
      <c r="E99" s="3"/>
      <c r="F99" s="3"/>
      <c r="G99" s="3"/>
      <c r="H99" s="3"/>
      <c r="I99" s="3"/>
      <c r="J99" s="3"/>
    </row>
    <row r="100" spans="1:10" x14ac:dyDescent="0.35">
      <c r="B100" s="20"/>
      <c r="C100" s="3"/>
      <c r="D100" s="3"/>
      <c r="E100" s="3"/>
      <c r="F100" s="3"/>
      <c r="G100" s="3"/>
      <c r="H100" s="3"/>
      <c r="I100" s="3"/>
      <c r="J100" s="3"/>
    </row>
    <row r="101" spans="1:10" x14ac:dyDescent="0.35">
      <c r="B101" s="20"/>
      <c r="C101" s="3"/>
      <c r="D101" s="3"/>
      <c r="E101" s="3"/>
      <c r="F101" s="3"/>
      <c r="G101" s="3"/>
      <c r="H101" s="3"/>
      <c r="I101" s="3"/>
      <c r="J101" s="3"/>
    </row>
    <row r="102" spans="1:10" x14ac:dyDescent="0.35">
      <c r="B102" s="20"/>
      <c r="C102" s="3"/>
      <c r="D102" s="3"/>
      <c r="E102" s="3"/>
      <c r="F102" s="3"/>
      <c r="G102" s="3"/>
      <c r="H102" s="3"/>
      <c r="I102" s="3"/>
      <c r="J102" s="3"/>
    </row>
    <row r="103" spans="1:10" x14ac:dyDescent="0.35">
      <c r="B103" s="20"/>
      <c r="C103" s="5"/>
      <c r="D103" s="5"/>
      <c r="E103" s="5"/>
      <c r="F103" s="5"/>
      <c r="G103" s="5"/>
      <c r="H103" s="5"/>
      <c r="I103" s="5"/>
      <c r="J103" s="5"/>
    </row>
    <row r="104" spans="1:10" x14ac:dyDescent="0.35">
      <c r="A104" s="1"/>
      <c r="C104" s="90"/>
      <c r="D104" s="90"/>
      <c r="E104" s="90"/>
      <c r="F104" s="90"/>
      <c r="G104" s="90"/>
      <c r="H104" s="90"/>
      <c r="I104" s="90"/>
      <c r="J104" s="90"/>
    </row>
    <row r="105" spans="1:10" x14ac:dyDescent="0.35">
      <c r="A105" s="1"/>
      <c r="G105" s="90"/>
      <c r="H105" s="90"/>
      <c r="I105" s="90"/>
      <c r="J105" s="90"/>
    </row>
  </sheetData>
  <mergeCells count="7">
    <mergeCell ref="N3:P3"/>
    <mergeCell ref="C104:F104"/>
    <mergeCell ref="G105:J105"/>
    <mergeCell ref="G104:J104"/>
    <mergeCell ref="J3:L3"/>
    <mergeCell ref="G3:I3"/>
    <mergeCell ref="D3:F3"/>
  </mergeCells>
  <phoneticPr fontId="9" type="noConversion"/>
  <pageMargins left="0.7" right="0.7" top="0.75" bottom="0.75" header="0.3" footer="0.3"/>
  <pageSetup paperSize="9" orientation="landscape" r:id="rId1"/>
  <headerFooter>
    <oddFooter>&amp;C&amp;1#&amp;"Calibri"&amp;10&amp;K000000Schlumberger-Private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265625" defaultRowHeight="14.5" x14ac:dyDescent="0.35"/>
  <sheetData/>
  <pageMargins left="0.7" right="0.7" top="0.75" bottom="0.75" header="0.3" footer="0.3"/>
  <pageSetup orientation="portrait" r:id="rId1"/>
  <headerFooter>
    <oddFooter>&amp;C&amp;1#&amp;"Calibri"&amp;10&amp;K000000Schlumberger-Private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7265625" defaultRowHeight="14.5" x14ac:dyDescent="0.35"/>
  <sheetData/>
  <pageMargins left="0.7" right="0.7" top="0.75" bottom="0.75" header="0.3" footer="0.3"/>
  <pageSetup orientation="portrait" r:id="rId1"/>
  <headerFooter>
    <oddFooter>&amp;C&amp;1#&amp;"Calibri"&amp;10&amp;K000000Schlumberger-Private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Ove Stenhagen</dc:creator>
  <cp:lastModifiedBy>pauls</cp:lastModifiedBy>
  <cp:lastPrinted>2018-02-06T20:20:30Z</cp:lastPrinted>
  <dcterms:created xsi:type="dcterms:W3CDTF">2014-02-11T19:13:32Z</dcterms:created>
  <dcterms:modified xsi:type="dcterms:W3CDTF">2023-02-10T11:53:10Z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85f1f62-8d2b-4457-869c-0a13c6549635_Enabled">
    <vt:lpwstr>True</vt:lpwstr>
  </property>
  <property fmtid="{D5CDD505-2E9C-101B-9397-08002B2CF9AE}" pid="3" name="MSIP_Label_585f1f62-8d2b-4457-869c-0a13c6549635_SiteId">
    <vt:lpwstr>41ff26dc-250f-4b13-8981-739be8610c21</vt:lpwstr>
  </property>
  <property fmtid="{D5CDD505-2E9C-101B-9397-08002B2CF9AE}" pid="4" name="MSIP_Label_585f1f62-8d2b-4457-869c-0a13c6549635_Owner">
    <vt:lpwstr>JoPaulsen@slb.com</vt:lpwstr>
  </property>
  <property fmtid="{D5CDD505-2E9C-101B-9397-08002B2CF9AE}" pid="5" name="MSIP_Label_585f1f62-8d2b-4457-869c-0a13c6549635_SetDate">
    <vt:lpwstr>2021-02-25T08:01:05.6861713Z</vt:lpwstr>
  </property>
  <property fmtid="{D5CDD505-2E9C-101B-9397-08002B2CF9AE}" pid="6" name="MSIP_Label_585f1f62-8d2b-4457-869c-0a13c6549635_Name">
    <vt:lpwstr>Private</vt:lpwstr>
  </property>
  <property fmtid="{D5CDD505-2E9C-101B-9397-08002B2CF9AE}" pid="7" name="MSIP_Label_585f1f62-8d2b-4457-869c-0a13c6549635_Application">
    <vt:lpwstr>Microsoft Azure Information Protection</vt:lpwstr>
  </property>
  <property fmtid="{D5CDD505-2E9C-101B-9397-08002B2CF9AE}" pid="8" name="MSIP_Label_585f1f62-8d2b-4457-869c-0a13c6549635_ActionId">
    <vt:lpwstr>d418221e-9693-46ae-b9b8-5f71c230af3c</vt:lpwstr>
  </property>
  <property fmtid="{D5CDD505-2E9C-101B-9397-08002B2CF9AE}" pid="9" name="MSIP_Label_585f1f62-8d2b-4457-869c-0a13c6549635_Extended_MSFT_Method">
    <vt:lpwstr>Automatic</vt:lpwstr>
  </property>
  <property fmtid="{D5CDD505-2E9C-101B-9397-08002B2CF9AE}" pid="10" name="MSIP_Label_8bb759f6-5337-4dc5-b19b-e74b6da11f8f_Enabled">
    <vt:lpwstr>True</vt:lpwstr>
  </property>
  <property fmtid="{D5CDD505-2E9C-101B-9397-08002B2CF9AE}" pid="11" name="MSIP_Label_8bb759f6-5337-4dc5-b19b-e74b6da11f8f_SiteId">
    <vt:lpwstr>41ff26dc-250f-4b13-8981-739be8610c21</vt:lpwstr>
  </property>
  <property fmtid="{D5CDD505-2E9C-101B-9397-08002B2CF9AE}" pid="12" name="MSIP_Label_8bb759f6-5337-4dc5-b19b-e74b6da11f8f_Owner">
    <vt:lpwstr>JoPaulsen@slb.com</vt:lpwstr>
  </property>
  <property fmtid="{D5CDD505-2E9C-101B-9397-08002B2CF9AE}" pid="13" name="MSIP_Label_8bb759f6-5337-4dc5-b19b-e74b6da11f8f_SetDate">
    <vt:lpwstr>2021-02-25T08:01:05.6861713Z</vt:lpwstr>
  </property>
  <property fmtid="{D5CDD505-2E9C-101B-9397-08002B2CF9AE}" pid="14" name="MSIP_Label_8bb759f6-5337-4dc5-b19b-e74b6da11f8f_Name">
    <vt:lpwstr>Internal</vt:lpwstr>
  </property>
  <property fmtid="{D5CDD505-2E9C-101B-9397-08002B2CF9AE}" pid="15" name="MSIP_Label_8bb759f6-5337-4dc5-b19b-e74b6da11f8f_Application">
    <vt:lpwstr>Microsoft Azure Information Protection</vt:lpwstr>
  </property>
  <property fmtid="{D5CDD505-2E9C-101B-9397-08002B2CF9AE}" pid="16" name="MSIP_Label_8bb759f6-5337-4dc5-b19b-e74b6da11f8f_ActionId">
    <vt:lpwstr>d418221e-9693-46ae-b9b8-5f71c230af3c</vt:lpwstr>
  </property>
  <property fmtid="{D5CDD505-2E9C-101B-9397-08002B2CF9AE}" pid="17" name="MSIP_Label_8bb759f6-5337-4dc5-b19b-e74b6da11f8f_Parent">
    <vt:lpwstr>585f1f62-8d2b-4457-869c-0a13c6549635</vt:lpwstr>
  </property>
  <property fmtid="{D5CDD505-2E9C-101B-9397-08002B2CF9AE}" pid="18" name="MSIP_Label_8bb759f6-5337-4dc5-b19b-e74b6da11f8f_Extended_MSFT_Method">
    <vt:lpwstr>Automatic</vt:lpwstr>
  </property>
  <property fmtid="{D5CDD505-2E9C-101B-9397-08002B2CF9AE}" pid="19" name="Sensitivity">
    <vt:lpwstr>Private Internal</vt:lpwstr>
  </property>
</Properties>
</file>