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ove.SCANMATIC1\Desktop\Temp\"/>
    </mc:Choice>
  </mc:AlternateContent>
  <xr:revisionPtr revIDLastSave="0" documentId="13_ncr:1_{3B357B5F-0E6F-4FBF-B39D-36CC2129391D}" xr6:coauthVersionLast="47" xr6:coauthVersionMax="47" xr10:uidLastSave="{00000000-0000-0000-0000-000000000000}"/>
  <bookViews>
    <workbookView xWindow="57480" yWindow="-1785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H82" i="1" s="1"/>
  <c r="E85" i="1"/>
  <c r="E82" i="1"/>
  <c r="D82" i="1"/>
  <c r="K35" i="1"/>
  <c r="E84" i="1"/>
  <c r="G27" i="1"/>
  <c r="F27" i="1"/>
  <c r="G80" i="1"/>
  <c r="G34" i="1"/>
  <c r="G39" i="1" s="1"/>
  <c r="H35" i="1"/>
  <c r="C73" i="1"/>
  <c r="D69" i="1" l="1"/>
  <c r="C39" i="1" l="1"/>
  <c r="C44" i="1"/>
  <c r="C8" i="1"/>
  <c r="E35" i="1"/>
  <c r="L35" i="1" s="1"/>
  <c r="H30" i="1" l="1"/>
  <c r="H31" i="1"/>
  <c r="H32" i="1"/>
  <c r="H33" i="1"/>
  <c r="H34" i="1"/>
  <c r="H36" i="1"/>
  <c r="H37" i="1"/>
  <c r="H38" i="1"/>
  <c r="H19" i="1"/>
  <c r="H20" i="1"/>
  <c r="H21" i="1"/>
  <c r="H22" i="1"/>
  <c r="H23" i="1"/>
  <c r="H24" i="1"/>
  <c r="H25" i="1"/>
  <c r="H11" i="1"/>
  <c r="H12" i="1"/>
  <c r="F15" i="1"/>
  <c r="G15" i="1"/>
  <c r="G8" i="1"/>
  <c r="F80" i="1"/>
  <c r="F44" i="1"/>
  <c r="G44" i="1"/>
  <c r="G81" i="1" s="1"/>
  <c r="H42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F39" i="1"/>
  <c r="H10" i="1"/>
  <c r="H13" i="1"/>
  <c r="H14" i="1"/>
  <c r="H16" i="1"/>
  <c r="H17" i="1"/>
  <c r="H41" i="1"/>
  <c r="H40" i="1"/>
  <c r="H29" i="1"/>
  <c r="H26" i="1"/>
  <c r="H7" i="1"/>
  <c r="H6" i="1"/>
  <c r="F5" i="1"/>
  <c r="F8" i="1" s="1"/>
  <c r="F81" i="1" l="1"/>
  <c r="H39" i="1"/>
  <c r="H15" i="1"/>
  <c r="H80" i="1"/>
  <c r="H44" i="1"/>
  <c r="H27" i="1"/>
  <c r="H5" i="1"/>
  <c r="H8" i="1" s="1"/>
  <c r="H81" i="1" l="1"/>
  <c r="E73" i="1"/>
  <c r="E11" i="1"/>
  <c r="E12" i="1"/>
  <c r="E14" i="1"/>
  <c r="E20" i="1"/>
  <c r="E21" i="1"/>
  <c r="E22" i="1"/>
  <c r="E23" i="1"/>
  <c r="E24" i="1"/>
  <c r="E31" i="1"/>
  <c r="E32" i="1"/>
  <c r="E33" i="1"/>
  <c r="E36" i="1"/>
  <c r="E37" i="1"/>
  <c r="E47" i="1"/>
  <c r="E48" i="1"/>
  <c r="E49" i="1"/>
  <c r="E50" i="1"/>
  <c r="E51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6" i="1"/>
  <c r="E77" i="1"/>
  <c r="E79" i="1"/>
  <c r="C19" i="1"/>
  <c r="D74" i="1"/>
  <c r="E74" i="1" s="1"/>
  <c r="D78" i="1"/>
  <c r="E78" i="1" s="1"/>
  <c r="E42" i="1"/>
  <c r="E43" i="1"/>
  <c r="D13" i="1"/>
  <c r="D15" i="1" s="1"/>
  <c r="D44" i="1"/>
  <c r="C26" i="1"/>
  <c r="E26" i="1" s="1"/>
  <c r="C25" i="1"/>
  <c r="E25" i="1" s="1"/>
  <c r="D27" i="1"/>
  <c r="C15" i="1"/>
  <c r="D5" i="1"/>
  <c r="E5" i="1" s="1"/>
  <c r="D66" i="1"/>
  <c r="E17" i="1"/>
  <c r="E29" i="1"/>
  <c r="E38" i="1"/>
  <c r="E45" i="1"/>
  <c r="E46" i="1"/>
  <c r="E41" i="1"/>
  <c r="C52" i="1"/>
  <c r="D30" i="1"/>
  <c r="D34" i="1"/>
  <c r="E34" i="1" s="1"/>
  <c r="E10" i="1"/>
  <c r="E7" i="1"/>
  <c r="E6" i="1"/>
  <c r="D39" i="1" l="1"/>
  <c r="E19" i="1"/>
  <c r="E27" i="1" s="1"/>
  <c r="C27" i="1"/>
  <c r="E66" i="1"/>
  <c r="D80" i="1"/>
  <c r="E52" i="1"/>
  <c r="E80" i="1" s="1"/>
  <c r="C80" i="1"/>
  <c r="C81" i="1" s="1"/>
  <c r="E8" i="1"/>
  <c r="E44" i="1"/>
  <c r="E13" i="1"/>
  <c r="E15" i="1" s="1"/>
  <c r="E30" i="1"/>
  <c r="E39" i="1" s="1"/>
  <c r="D8" i="1"/>
  <c r="E81" i="1" l="1"/>
  <c r="C82" i="1"/>
  <c r="D81" i="1"/>
  <c r="K26" i="1"/>
  <c r="K12" i="1" l="1"/>
  <c r="L12" i="1" s="1"/>
  <c r="K6" i="1" l="1"/>
  <c r="L6" i="1" s="1"/>
  <c r="K7" i="1"/>
  <c r="L7" i="1" s="1"/>
  <c r="K10" i="1"/>
  <c r="L10" i="1" s="1"/>
  <c r="K13" i="1"/>
  <c r="L13" i="1" s="1"/>
  <c r="K14" i="1"/>
  <c r="L14" i="1" s="1"/>
  <c r="K17" i="1"/>
  <c r="L17" i="1" s="1"/>
  <c r="K20" i="1"/>
  <c r="K29" i="1"/>
  <c r="K30" i="1"/>
  <c r="L30" i="1" s="1"/>
  <c r="K31" i="1"/>
  <c r="K32" i="1"/>
  <c r="L32" i="1" s="1"/>
  <c r="K33" i="1"/>
  <c r="L33" i="1" s="1"/>
  <c r="K34" i="1"/>
  <c r="K36" i="1"/>
  <c r="L36" i="1" s="1"/>
  <c r="K37" i="1"/>
  <c r="K38" i="1"/>
  <c r="K45" i="1"/>
  <c r="K46" i="1"/>
  <c r="K47" i="1"/>
  <c r="K48" i="1"/>
  <c r="K49" i="1"/>
  <c r="L49" i="1" s="1"/>
  <c r="K50" i="1"/>
  <c r="K52" i="1"/>
  <c r="K53" i="1"/>
  <c r="K55" i="1"/>
  <c r="L55" i="1" s="1"/>
  <c r="K57" i="1"/>
  <c r="L57" i="1" s="1"/>
  <c r="K41" i="1"/>
  <c r="K42" i="1"/>
  <c r="K60" i="1"/>
  <c r="L60" i="1" s="1"/>
  <c r="K61" i="1"/>
  <c r="K62" i="1"/>
  <c r="K64" i="1"/>
  <c r="K68" i="1"/>
  <c r="L68" i="1" s="1"/>
  <c r="K69" i="1"/>
  <c r="L69" i="1" s="1"/>
  <c r="K70" i="1"/>
  <c r="K71" i="1"/>
  <c r="K72" i="1"/>
  <c r="L72" i="1" s="1"/>
  <c r="K73" i="1"/>
  <c r="K78" i="1"/>
  <c r="K79" i="1"/>
  <c r="J11" i="1"/>
  <c r="J81" i="1" s="1"/>
  <c r="I22" i="1"/>
  <c r="K11" i="1" l="1"/>
  <c r="L11" i="1" s="1"/>
  <c r="K22" i="1"/>
  <c r="L22" i="1" s="1"/>
  <c r="I81" i="1"/>
  <c r="L34" i="1"/>
  <c r="L38" i="1"/>
  <c r="L37" i="1"/>
  <c r="L48" i="1"/>
  <c r="L53" i="1"/>
  <c r="L41" i="1"/>
  <c r="L73" i="1"/>
  <c r="L42" i="1"/>
  <c r="L70" i="1"/>
  <c r="L50" i="1"/>
  <c r="L62" i="1"/>
  <c r="L78" i="1"/>
  <c r="L61" i="1"/>
  <c r="L79" i="1"/>
  <c r="L71" i="1"/>
  <c r="L64" i="1"/>
  <c r="L47" i="1"/>
  <c r="L29" i="1"/>
  <c r="L46" i="1"/>
  <c r="L45" i="1"/>
  <c r="L31" i="1"/>
  <c r="L52" i="1"/>
  <c r="L20" i="1"/>
  <c r="K5" i="1" l="1"/>
  <c r="K81" i="1" s="1"/>
  <c r="L81" i="1" l="1"/>
  <c r="L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Paulsen</author>
  </authors>
  <commentList>
    <comment ref="D5" authorId="0" shapeId="0" xr:uid="{F6FE3E8B-8366-41C3-B468-0D019BD10A5A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Kontigent og avgift pr regning</t>
        </r>
      </text>
    </comment>
    <comment ref="C78" authorId="0" shapeId="0" xr:uid="{C25F38FC-5A9F-4829-AE28-6093DE623A39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Vocher for treff 2021</t>
        </r>
      </text>
    </comment>
  </commentList>
</comments>
</file>

<file path=xl/sharedStrings.xml><?xml version="1.0" encoding="utf-8"?>
<sst xmlns="http://schemas.openxmlformats.org/spreadsheetml/2006/main" count="109" uniqueCount="99">
  <si>
    <t>Drift</t>
  </si>
  <si>
    <t>Note</t>
  </si>
  <si>
    <t>Kontingent</t>
  </si>
  <si>
    <t>Dugnad</t>
  </si>
  <si>
    <t>Renter</t>
  </si>
  <si>
    <t>Diverse</t>
  </si>
  <si>
    <t>Kompressor</t>
  </si>
  <si>
    <t>Forsikringer</t>
  </si>
  <si>
    <t>Driftsresultat</t>
  </si>
  <si>
    <t>Inntekter</t>
  </si>
  <si>
    <t>Utgifter</t>
  </si>
  <si>
    <t>Netto</t>
  </si>
  <si>
    <t>Båt</t>
  </si>
  <si>
    <t>Kurs</t>
  </si>
  <si>
    <t>Luftmedlem</t>
  </si>
  <si>
    <t>Finans</t>
  </si>
  <si>
    <t>UVR</t>
  </si>
  <si>
    <t>SMS/WEB/IT</t>
  </si>
  <si>
    <t>Gassmedlem</t>
  </si>
  <si>
    <t>Fridykking</t>
  </si>
  <si>
    <t>Dykkerutstyr</t>
  </si>
  <si>
    <t>Turer/tilstelninger</t>
  </si>
  <si>
    <t>Sletting av gamle nøkkeldep</t>
  </si>
  <si>
    <t>Endring</t>
  </si>
  <si>
    <t>Ledersamling/Dykketing NDF</t>
  </si>
  <si>
    <t>Instruktørutdanning</t>
  </si>
  <si>
    <t>Båthenger</t>
  </si>
  <si>
    <t>B/R</t>
  </si>
  <si>
    <t>Div prosjekter</t>
  </si>
  <si>
    <t>UV Foto</t>
  </si>
  <si>
    <t>stk</t>
  </si>
  <si>
    <t>Luftfylling gjester, driftsutgifter</t>
  </si>
  <si>
    <t>Vipps og NIF/Buypass</t>
  </si>
  <si>
    <t>Reservekompressor</t>
  </si>
  <si>
    <t>Kaffekrus</t>
  </si>
  <si>
    <t>Raet dykketreff</t>
  </si>
  <si>
    <t>Ansvars og ulykkesforsikring</t>
  </si>
  <si>
    <t>Sett bort fra student/honnør som gjør reelt tall noe høyere - opplyser reelt tall fra medlemsregister på årsmøtet</t>
  </si>
  <si>
    <t>Fortsatt noen på lager</t>
  </si>
  <si>
    <t>Vedlikehold</t>
  </si>
  <si>
    <t>Vedlikehold og småreparasjoner</t>
  </si>
  <si>
    <t>Lavere renter</t>
  </si>
  <si>
    <t>Nitrox/Trimix</t>
  </si>
  <si>
    <t>Husleie</t>
  </si>
  <si>
    <t>10mnd a 5000</t>
  </si>
  <si>
    <t>Klubblokale</t>
  </si>
  <si>
    <t>Strøm</t>
  </si>
  <si>
    <t>DIV innredning</t>
  </si>
  <si>
    <t>Div dugnad</t>
  </si>
  <si>
    <t>AIR midler</t>
  </si>
  <si>
    <t>Handelens miljøfond</t>
  </si>
  <si>
    <t>178k i støtte til 4 scootere (129k) og frikjøp av arbeidstid (49k) for å delta i prosjekt</t>
  </si>
  <si>
    <t>Regnskap 2020</t>
  </si>
  <si>
    <t>Scooter (H.M.F)</t>
  </si>
  <si>
    <t>Teinedugnad Jenny</t>
  </si>
  <si>
    <t>Scanmatic dugnad</t>
  </si>
  <si>
    <t>Reparasjon + propell</t>
  </si>
  <si>
    <t>Dør/kode</t>
  </si>
  <si>
    <t>Tregde Høsstur</t>
  </si>
  <si>
    <t>Utleie av utstyr og scootere, trykktesting av uteleie utstyr</t>
  </si>
  <si>
    <t>Våre strender</t>
  </si>
  <si>
    <t>Naturvernforbundet</t>
  </si>
  <si>
    <t>Norges dykkerforbund</t>
  </si>
  <si>
    <t>Spleis Anita</t>
  </si>
  <si>
    <t>Vipps salg av brus, sjokolade og diverse</t>
  </si>
  <si>
    <t>T-skjorter</t>
  </si>
  <si>
    <t>Grasrotandel</t>
  </si>
  <si>
    <t>MVA komp</t>
  </si>
  <si>
    <t>Motatt midler fra Arendal Idrettsråd</t>
  </si>
  <si>
    <t>Bensin dekt av klubb</t>
  </si>
  <si>
    <t>Utlegg tilbakebetalt av Raet kystlag</t>
  </si>
  <si>
    <t>Diverse salg brus/sjokolade/t-skjorte</t>
  </si>
  <si>
    <t>Teinerydding</t>
  </si>
  <si>
    <t>Saldo 31.12.2019</t>
  </si>
  <si>
    <t>Saldo 31.12.2020</t>
  </si>
  <si>
    <t>Budsjett 2020</t>
  </si>
  <si>
    <t>Dugnads utgifter</t>
  </si>
  <si>
    <t>Salg av teiner andre dugnadsinntekter</t>
  </si>
  <si>
    <t>Budsjett 2021</t>
  </si>
  <si>
    <t>Teinedugnaden til NDF avsluttet våren 2020. Startet opp igjen nå.</t>
  </si>
  <si>
    <t>Hjemmeside og SMS. Hjemmeside betalt dobbelt. Gratis i 2021</t>
  </si>
  <si>
    <t>47200kr overføres til 2021 for frikjøp av arbeid for dugnad i forbindelese med dugnad.</t>
  </si>
  <si>
    <t>Salg av effekter, brus og sjokolade i VIPPS</t>
  </si>
  <si>
    <t>Avskriving motor</t>
  </si>
  <si>
    <t>Overskudd, men flere dansker valgte å ha la depositum stå for treff 2021.</t>
  </si>
  <si>
    <t>Leie av badstue på Stinta</t>
  </si>
  <si>
    <t>Tregdetur felles innbetaling for samlede utgifter</t>
  </si>
  <si>
    <t>Ingen kurs pga COVID</t>
  </si>
  <si>
    <t>Inkl abonnement SALTO</t>
  </si>
  <si>
    <t>Inntekter utenom nitrox medlem er under kompressor, merk også at RAET dykketreff var inkl Nitrox</t>
  </si>
  <si>
    <t>Restbeløp overføres til 2021 for teineryddingsturer</t>
  </si>
  <si>
    <t>Avskriving for motor var siste gang i år 2020</t>
  </si>
  <si>
    <t>Leasing av scootere (Våre Strender)</t>
  </si>
  <si>
    <t>Utkjøp av leasede scootere</t>
  </si>
  <si>
    <t>Arendal undervannsklubb - Regnskap 2020 sammenlignet med budsjett 2020</t>
  </si>
  <si>
    <t>Eks avskrivinger</t>
  </si>
  <si>
    <t>Budsjett 55200 - Scooterleie (se egen linje)</t>
  </si>
  <si>
    <t>Dugnad 2019</t>
  </si>
  <si>
    <t>Penger fra dugnad i 2019 innkommet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</si>
</sst>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right"/>
    </xf>
    <xf numFmtId="2" fontId="0" fillId="0" borderId="0" xfId="0" applyNumberFormat="1"/>
    <xf numFmtId="2" fontId="0" fillId="0" borderId="0" xfId="0" applyNumberForma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2" fillId="0" borderId="4" xfId="0" applyFont="1" applyFill="1" applyBorder="1"/>
    <xf numFmtId="0" fontId="0" fillId="0" borderId="0" xfId="0"/>
    <xf numFmtId="0" fontId="2" fillId="0" borderId="7" xfId="0" applyFont="1" applyBorder="1"/>
    <xf numFmtId="0" fontId="1" fillId="0" borderId="0" xfId="0" applyFont="1"/>
    <xf numFmtId="0" fontId="0" fillId="0" borderId="0" xfId="0"/>
    <xf numFmtId="2" fontId="0" fillId="0" borderId="14" xfId="0" applyNumberFormat="1" applyFont="1" applyBorder="1"/>
    <xf numFmtId="0" fontId="0" fillId="0" borderId="1" xfId="0" applyFill="1" applyBorder="1"/>
    <xf numFmtId="0" fontId="0" fillId="0" borderId="0" xfId="0"/>
    <xf numFmtId="2" fontId="0" fillId="0" borderId="0" xfId="0" applyNumberFormat="1"/>
    <xf numFmtId="0" fontId="0" fillId="0" borderId="2" xfId="0" applyBorder="1"/>
    <xf numFmtId="0" fontId="2" fillId="0" borderId="5" xfId="0" applyFont="1" applyBorder="1"/>
    <xf numFmtId="0" fontId="2" fillId="0" borderId="6" xfId="0" applyFont="1" applyBorder="1"/>
    <xf numFmtId="0" fontId="0" fillId="0" borderId="2" xfId="0" applyBorder="1" applyAlignment="1">
      <alignment horizontal="left" indent="1"/>
    </xf>
    <xf numFmtId="0" fontId="0" fillId="0" borderId="1" xfId="0" applyBorder="1"/>
    <xf numFmtId="0" fontId="0" fillId="0" borderId="2" xfId="0" applyBorder="1" applyAlignment="1">
      <alignment horizontal="left"/>
    </xf>
    <xf numFmtId="0" fontId="4" fillId="0" borderId="0" xfId="0" applyFont="1"/>
    <xf numFmtId="0" fontId="0" fillId="0" borderId="0" xfId="0" applyFont="1"/>
    <xf numFmtId="0" fontId="0" fillId="0" borderId="2" xfId="0" applyBorder="1" applyAlignment="1">
      <alignment horizontal="left" indent="2"/>
    </xf>
    <xf numFmtId="0" fontId="4" fillId="0" borderId="0" xfId="0" applyFont="1" applyFill="1" applyBorder="1"/>
    <xf numFmtId="0" fontId="0" fillId="0" borderId="1" xfId="0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2" fontId="0" fillId="0" borderId="13" xfId="0" applyNumberFormat="1" applyFont="1" applyFill="1" applyBorder="1"/>
    <xf numFmtId="2" fontId="1" fillId="0" borderId="0" xfId="0" applyNumberFormat="1" applyFont="1"/>
    <xf numFmtId="0" fontId="2" fillId="0" borderId="17" xfId="0" applyFont="1" applyBorder="1"/>
    <xf numFmtId="2" fontId="0" fillId="0" borderId="3" xfId="0" applyNumberFormat="1" applyBorder="1"/>
    <xf numFmtId="2" fontId="0" fillId="0" borderId="4" xfId="0" applyNumberFormat="1" applyBorder="1"/>
    <xf numFmtId="0" fontId="2" fillId="0" borderId="18" xfId="0" applyFont="1" applyBorder="1"/>
    <xf numFmtId="2" fontId="2" fillId="0" borderId="18" xfId="0" applyNumberFormat="1" applyFont="1" applyBorder="1"/>
    <xf numFmtId="0" fontId="1" fillId="0" borderId="12" xfId="0" applyFont="1" applyFill="1" applyBorder="1"/>
    <xf numFmtId="0" fontId="1" fillId="0" borderId="15" xfId="0" applyFont="1" applyFill="1" applyBorder="1"/>
    <xf numFmtId="0" fontId="5" fillId="0" borderId="12" xfId="0" applyFont="1" applyFill="1" applyBorder="1"/>
    <xf numFmtId="0" fontId="5" fillId="0" borderId="15" xfId="0" applyFont="1" applyFill="1" applyBorder="1"/>
    <xf numFmtId="0" fontId="5" fillId="0" borderId="12" xfId="1" applyFont="1" applyFill="1" applyBorder="1"/>
    <xf numFmtId="0" fontId="0" fillId="0" borderId="2" xfId="0" applyBorder="1" applyAlignment="1">
      <alignment vertical="top"/>
    </xf>
    <xf numFmtId="0" fontId="5" fillId="0" borderId="12" xfId="0" applyFont="1" applyFill="1" applyBorder="1" applyAlignment="1"/>
    <xf numFmtId="0" fontId="5" fillId="0" borderId="20" xfId="0" applyFont="1" applyFill="1" applyBorder="1"/>
    <xf numFmtId="0" fontId="5" fillId="0" borderId="19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2" fillId="0" borderId="13" xfId="0" applyFont="1" applyBorder="1"/>
    <xf numFmtId="0" fontId="5" fillId="0" borderId="21" xfId="0" applyFont="1" applyFill="1" applyBorder="1"/>
    <xf numFmtId="0" fontId="5" fillId="0" borderId="22" xfId="0" applyFont="1" applyFill="1" applyBorder="1"/>
    <xf numFmtId="0" fontId="2" fillId="0" borderId="23" xfId="0" applyFont="1" applyBorder="1"/>
    <xf numFmtId="0" fontId="5" fillId="0" borderId="24" xfId="0" applyFont="1" applyFill="1" applyBorder="1"/>
    <xf numFmtId="0" fontId="5" fillId="0" borderId="25" xfId="0" applyFont="1" applyFill="1" applyBorder="1"/>
    <xf numFmtId="0" fontId="0" fillId="0" borderId="0" xfId="0" applyFill="1" applyBorder="1"/>
    <xf numFmtId="0" fontId="5" fillId="0" borderId="1" xfId="0" applyFont="1" applyBorder="1"/>
    <xf numFmtId="0" fontId="5" fillId="0" borderId="16" xfId="0" applyFont="1" applyBorder="1"/>
    <xf numFmtId="0" fontId="5" fillId="0" borderId="15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2" fontId="0" fillId="0" borderId="26" xfId="0" applyNumberFormat="1" applyBorder="1"/>
    <xf numFmtId="0" fontId="8" fillId="0" borderId="16" xfId="0" applyFont="1" applyBorder="1"/>
    <xf numFmtId="0" fontId="8" fillId="0" borderId="12" xfId="1" applyFont="1" applyFill="1" applyBorder="1"/>
    <xf numFmtId="2" fontId="0" fillId="0" borderId="0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2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right" vertical="top"/>
    </xf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Border="1"/>
    <xf numFmtId="0" fontId="4" fillId="0" borderId="12" xfId="0" applyFont="1" applyFill="1" applyBorder="1" applyAlignment="1"/>
    <xf numFmtId="0" fontId="4" fillId="0" borderId="15" xfId="0" applyFont="1" applyFill="1" applyBorder="1" applyAlignment="1">
      <alignment horizontal="left" indent="1"/>
    </xf>
    <xf numFmtId="0" fontId="4" fillId="0" borderId="12" xfId="1" applyFont="1" applyFill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"/>
  <sheetViews>
    <sheetView tabSelected="1" zoomScaleNormal="100" workbookViewId="0">
      <pane ySplit="4" topLeftCell="A5" activePane="bottomLeft" state="frozen"/>
      <selection pane="bottomLeft" activeCell="N44" sqref="N44"/>
    </sheetView>
  </sheetViews>
  <sheetFormatPr defaultColWidth="8.7265625" defaultRowHeight="14.5" x14ac:dyDescent="0.35"/>
  <cols>
    <col min="1" max="1" width="38.54296875" customWidth="1"/>
    <col min="2" max="2" width="12.6328125" hidden="1" customWidth="1"/>
    <col min="3" max="3" width="13.453125" customWidth="1"/>
    <col min="4" max="5" width="13.54296875" customWidth="1"/>
    <col min="6" max="8" width="13.54296875" style="19" customWidth="1"/>
    <col min="9" max="9" width="13.453125" hidden="1" customWidth="1"/>
    <col min="10" max="10" width="11.81640625" hidden="1" customWidth="1"/>
    <col min="11" max="11" width="10.1796875" hidden="1" customWidth="1"/>
    <col min="12" max="12" width="10" hidden="1" customWidth="1"/>
    <col min="14" max="14" width="3.453125" customWidth="1"/>
  </cols>
  <sheetData>
    <row r="1" spans="1:16" x14ac:dyDescent="0.35">
      <c r="A1" s="1" t="s">
        <v>94</v>
      </c>
      <c r="L1" s="4"/>
    </row>
    <row r="2" spans="1:16" ht="15" thickBot="1" x14ac:dyDescent="0.4">
      <c r="A2" s="1"/>
      <c r="D2" s="2"/>
      <c r="E2" s="4"/>
      <c r="F2" s="4"/>
      <c r="G2" s="4"/>
      <c r="H2" s="4"/>
      <c r="I2" s="2"/>
    </row>
    <row r="3" spans="1:16" ht="15" thickBot="1" x14ac:dyDescent="0.4">
      <c r="A3" s="1"/>
      <c r="C3" s="68" t="s">
        <v>52</v>
      </c>
      <c r="D3" s="69"/>
      <c r="E3" s="70"/>
      <c r="F3" s="68" t="s">
        <v>75</v>
      </c>
      <c r="G3" s="69"/>
      <c r="H3" s="70"/>
      <c r="I3" s="68" t="s">
        <v>78</v>
      </c>
      <c r="J3" s="69"/>
      <c r="K3" s="70"/>
      <c r="L3" s="11" t="s">
        <v>27</v>
      </c>
    </row>
    <row r="4" spans="1:16" ht="15" thickBot="1" x14ac:dyDescent="0.4">
      <c r="A4" s="22" t="s">
        <v>0</v>
      </c>
      <c r="B4" s="23" t="s">
        <v>1</v>
      </c>
      <c r="C4" s="52" t="s">
        <v>9</v>
      </c>
      <c r="D4" s="55" t="s">
        <v>10</v>
      </c>
      <c r="E4" s="23" t="s">
        <v>11</v>
      </c>
      <c r="F4" s="22" t="s">
        <v>9</v>
      </c>
      <c r="G4" s="36" t="s">
        <v>10</v>
      </c>
      <c r="H4" s="39" t="s">
        <v>11</v>
      </c>
      <c r="I4" s="22" t="s">
        <v>9</v>
      </c>
      <c r="J4" s="36" t="s">
        <v>10</v>
      </c>
      <c r="K4" s="39" t="s">
        <v>11</v>
      </c>
      <c r="L4" s="12" t="s">
        <v>23</v>
      </c>
    </row>
    <row r="5" spans="1:16" x14ac:dyDescent="0.35">
      <c r="A5" s="21" t="s">
        <v>2</v>
      </c>
      <c r="B5" s="25"/>
      <c r="C5" s="43">
        <v>37750</v>
      </c>
      <c r="D5" s="56">
        <f>1450+5460</f>
        <v>6910</v>
      </c>
      <c r="E5" s="59">
        <f>C5-D5</f>
        <v>30840</v>
      </c>
      <c r="F5" s="71">
        <f>72100-F6-F7</f>
        <v>32600</v>
      </c>
      <c r="G5" s="72">
        <v>5595</v>
      </c>
      <c r="H5" s="65">
        <f>F5-G5</f>
        <v>27005</v>
      </c>
      <c r="I5" s="74">
        <v>37500</v>
      </c>
      <c r="J5" s="75">
        <v>1450</v>
      </c>
      <c r="K5" s="76">
        <f>I5-J5</f>
        <v>36050</v>
      </c>
      <c r="L5" s="37">
        <f>K5-E5</f>
        <v>5210</v>
      </c>
      <c r="N5" s="33">
        <v>80</v>
      </c>
      <c r="O5" t="s">
        <v>30</v>
      </c>
      <c r="P5" t="s">
        <v>37</v>
      </c>
    </row>
    <row r="6" spans="1:16" x14ac:dyDescent="0.35">
      <c r="A6" s="24" t="s">
        <v>14</v>
      </c>
      <c r="B6" s="25"/>
      <c r="C6" s="43">
        <v>20500</v>
      </c>
      <c r="D6" s="56"/>
      <c r="E6" s="59">
        <f t="shared" ref="E6:E79" si="0">C6-D6</f>
        <v>20500</v>
      </c>
      <c r="F6" s="71">
        <v>29500</v>
      </c>
      <c r="G6" s="72"/>
      <c r="H6" s="65">
        <f t="shared" ref="H6:H70" si="1">F6-G6</f>
        <v>29500</v>
      </c>
      <c r="I6" s="74">
        <v>29500</v>
      </c>
      <c r="J6" s="75"/>
      <c r="K6" s="76">
        <f t="shared" ref="K6:K79" si="2">I6-J6</f>
        <v>29500</v>
      </c>
      <c r="L6" s="37">
        <f t="shared" ref="L6:L79" si="3">K6-E6</f>
        <v>9000</v>
      </c>
      <c r="N6" s="33">
        <v>41</v>
      </c>
      <c r="O6" t="s">
        <v>30</v>
      </c>
    </row>
    <row r="7" spans="1:16" x14ac:dyDescent="0.35">
      <c r="A7" s="24" t="s">
        <v>18</v>
      </c>
      <c r="B7" s="25"/>
      <c r="C7" s="43">
        <v>8400</v>
      </c>
      <c r="D7" s="56"/>
      <c r="E7" s="59">
        <f t="shared" si="0"/>
        <v>8400</v>
      </c>
      <c r="F7" s="71">
        <v>10000</v>
      </c>
      <c r="G7" s="72"/>
      <c r="H7" s="65">
        <f t="shared" si="1"/>
        <v>10000</v>
      </c>
      <c r="I7" s="74">
        <v>10000</v>
      </c>
      <c r="J7" s="75"/>
      <c r="K7" s="76">
        <f t="shared" si="2"/>
        <v>10000</v>
      </c>
      <c r="L7" s="37">
        <f t="shared" si="3"/>
        <v>1600</v>
      </c>
      <c r="N7" s="33">
        <v>14</v>
      </c>
      <c r="O7" t="s">
        <v>30</v>
      </c>
    </row>
    <row r="8" spans="1:16" s="19" customFormat="1" ht="15" thickBot="1" x14ac:dyDescent="0.4">
      <c r="A8" s="24"/>
      <c r="B8" s="25"/>
      <c r="C8" s="48">
        <f>SUM(C5:C7)</f>
        <v>66650</v>
      </c>
      <c r="D8" s="57">
        <f t="shared" ref="D8" si="4">SUM(D5:D7)</f>
        <v>6910</v>
      </c>
      <c r="E8" s="53">
        <f>SUM(E5:E7)</f>
        <v>59740</v>
      </c>
      <c r="F8" s="53">
        <f t="shared" ref="F8:H8" si="5">SUM(F5:F7)</f>
        <v>72100</v>
      </c>
      <c r="G8" s="53">
        <f t="shared" si="5"/>
        <v>5595</v>
      </c>
      <c r="H8" s="53">
        <f t="shared" si="5"/>
        <v>66505</v>
      </c>
      <c r="I8" s="74"/>
      <c r="J8" s="75"/>
      <c r="K8" s="76"/>
      <c r="L8" s="37"/>
      <c r="N8" s="33"/>
    </row>
    <row r="9" spans="1:16" s="19" customFormat="1" ht="15" thickTop="1" x14ac:dyDescent="0.35">
      <c r="A9" s="24"/>
      <c r="B9" s="25"/>
      <c r="C9" s="43"/>
      <c r="D9" s="56"/>
      <c r="E9" s="51"/>
      <c r="F9" s="71"/>
      <c r="G9" s="72"/>
      <c r="H9" s="65"/>
      <c r="I9" s="74"/>
      <c r="J9" s="75"/>
      <c r="K9" s="76"/>
      <c r="L9" s="37"/>
      <c r="N9" s="33"/>
    </row>
    <row r="10" spans="1:16" s="19" customFormat="1" x14ac:dyDescent="0.35">
      <c r="A10" s="26" t="s">
        <v>45</v>
      </c>
      <c r="B10" s="25"/>
      <c r="C10" s="43">
        <v>2399.8200000000002</v>
      </c>
      <c r="D10" s="56">
        <v>2399.8200000000002</v>
      </c>
      <c r="E10" s="59">
        <f t="shared" si="0"/>
        <v>0</v>
      </c>
      <c r="F10" s="71"/>
      <c r="G10" s="42">
        <v>5000</v>
      </c>
      <c r="H10" s="65">
        <f t="shared" si="1"/>
        <v>-5000</v>
      </c>
      <c r="I10" s="74"/>
      <c r="J10" s="75"/>
      <c r="K10" s="76">
        <f t="shared" si="2"/>
        <v>0</v>
      </c>
      <c r="L10" s="37">
        <f t="shared" si="3"/>
        <v>0</v>
      </c>
      <c r="N10" s="19" t="s">
        <v>70</v>
      </c>
    </row>
    <row r="11" spans="1:16" s="19" customFormat="1" x14ac:dyDescent="0.35">
      <c r="A11" s="24" t="s">
        <v>43</v>
      </c>
      <c r="B11" s="25"/>
      <c r="C11" s="43"/>
      <c r="D11" s="56">
        <v>50000</v>
      </c>
      <c r="E11" s="59">
        <f t="shared" si="0"/>
        <v>-50000</v>
      </c>
      <c r="F11" s="71"/>
      <c r="G11" s="72">
        <v>50000</v>
      </c>
      <c r="H11" s="65">
        <f t="shared" si="1"/>
        <v>-50000</v>
      </c>
      <c r="I11" s="74"/>
      <c r="J11" s="75">
        <f>10*5000</f>
        <v>50000</v>
      </c>
      <c r="K11" s="76">
        <f t="shared" si="2"/>
        <v>-50000</v>
      </c>
      <c r="L11" s="37">
        <f t="shared" si="3"/>
        <v>0</v>
      </c>
      <c r="N11" s="33" t="s">
        <v>44</v>
      </c>
    </row>
    <row r="12" spans="1:16" s="19" customFormat="1" x14ac:dyDescent="0.35">
      <c r="A12" s="24" t="s">
        <v>47</v>
      </c>
      <c r="B12" s="25"/>
      <c r="C12" s="43"/>
      <c r="D12" s="56">
        <v>2462</v>
      </c>
      <c r="E12" s="59">
        <f t="shared" si="0"/>
        <v>-2462</v>
      </c>
      <c r="F12" s="71"/>
      <c r="G12" s="42">
        <v>10000</v>
      </c>
      <c r="H12" s="65">
        <f t="shared" si="1"/>
        <v>-10000</v>
      </c>
      <c r="I12" s="74"/>
      <c r="J12" s="75">
        <v>10000</v>
      </c>
      <c r="K12" s="76">
        <f t="shared" ref="K12" si="6">I12-J12</f>
        <v>-10000</v>
      </c>
      <c r="L12" s="37">
        <f t="shared" ref="L12" si="7">K12-E12</f>
        <v>-7538</v>
      </c>
      <c r="N12" s="33"/>
    </row>
    <row r="13" spans="1:16" s="19" customFormat="1" x14ac:dyDescent="0.35">
      <c r="A13" s="24" t="s">
        <v>57</v>
      </c>
      <c r="B13" s="25"/>
      <c r="C13" s="43"/>
      <c r="D13" s="56">
        <f>9262+15063+332.88+6430+2500</f>
        <v>33587.880000000005</v>
      </c>
      <c r="E13" s="59">
        <f t="shared" si="0"/>
        <v>-33587.880000000005</v>
      </c>
      <c r="F13" s="71"/>
      <c r="G13" s="72"/>
      <c r="H13" s="65">
        <f t="shared" si="1"/>
        <v>0</v>
      </c>
      <c r="I13" s="74"/>
      <c r="J13" s="75">
        <v>5000</v>
      </c>
      <c r="K13" s="76">
        <f t="shared" si="2"/>
        <v>-5000</v>
      </c>
      <c r="L13" s="37">
        <f t="shared" si="3"/>
        <v>28587.880000000005</v>
      </c>
      <c r="N13" s="33" t="s">
        <v>88</v>
      </c>
    </row>
    <row r="14" spans="1:16" s="19" customFormat="1" x14ac:dyDescent="0.35">
      <c r="A14" s="24" t="s">
        <v>46</v>
      </c>
      <c r="B14" s="25"/>
      <c r="C14" s="43"/>
      <c r="D14" s="56">
        <v>1875</v>
      </c>
      <c r="E14" s="59">
        <f t="shared" si="0"/>
        <v>-1875</v>
      </c>
      <c r="F14" s="71"/>
      <c r="G14" s="72">
        <v>3000</v>
      </c>
      <c r="H14" s="65">
        <f t="shared" si="1"/>
        <v>-3000</v>
      </c>
      <c r="I14" s="74"/>
      <c r="J14" s="75">
        <v>3000</v>
      </c>
      <c r="K14" s="76">
        <f t="shared" si="2"/>
        <v>-3000</v>
      </c>
      <c r="L14" s="37">
        <f t="shared" si="3"/>
        <v>-1125</v>
      </c>
      <c r="N14" s="33"/>
    </row>
    <row r="15" spans="1:16" s="19" customFormat="1" ht="15" thickBot="1" x14ac:dyDescent="0.4">
      <c r="A15" s="24"/>
      <c r="B15" s="25"/>
      <c r="C15" s="48">
        <f>SUM(C10:C14)</f>
        <v>2399.8200000000002</v>
      </c>
      <c r="D15" s="57">
        <f>SUM(D10:D14)</f>
        <v>90324.700000000012</v>
      </c>
      <c r="E15" s="53">
        <f t="shared" ref="E15:H15" si="8">SUM(E10:E14)</f>
        <v>-87924.88</v>
      </c>
      <c r="F15" s="53">
        <f t="shared" si="8"/>
        <v>0</v>
      </c>
      <c r="G15" s="53">
        <f t="shared" si="8"/>
        <v>68000</v>
      </c>
      <c r="H15" s="53">
        <f t="shared" si="8"/>
        <v>-68000</v>
      </c>
      <c r="I15" s="74"/>
      <c r="J15" s="75"/>
      <c r="K15" s="76"/>
      <c r="L15" s="37"/>
      <c r="N15" s="33"/>
    </row>
    <row r="16" spans="1:16" s="19" customFormat="1" ht="15" thickTop="1" x14ac:dyDescent="0.35">
      <c r="A16" s="24"/>
      <c r="B16" s="25"/>
      <c r="C16" s="43"/>
      <c r="D16" s="56"/>
      <c r="E16" s="59"/>
      <c r="F16" s="71"/>
      <c r="G16" s="72"/>
      <c r="H16" s="65">
        <f t="shared" si="1"/>
        <v>0</v>
      </c>
      <c r="I16" s="74"/>
      <c r="J16" s="75"/>
      <c r="K16" s="76"/>
      <c r="L16" s="37"/>
      <c r="N16" s="33"/>
    </row>
    <row r="17" spans="1:14" x14ac:dyDescent="0.35">
      <c r="A17" s="21" t="s">
        <v>3</v>
      </c>
      <c r="B17" s="25"/>
      <c r="C17" s="43"/>
      <c r="D17" s="56"/>
      <c r="E17" s="59">
        <f t="shared" si="0"/>
        <v>0</v>
      </c>
      <c r="F17" s="71">
        <v>20000</v>
      </c>
      <c r="G17" s="72"/>
      <c r="H17" s="65">
        <f t="shared" si="1"/>
        <v>20000</v>
      </c>
      <c r="I17" s="74">
        <v>20000</v>
      </c>
      <c r="J17" s="75"/>
      <c r="K17" s="76">
        <f t="shared" si="2"/>
        <v>20000</v>
      </c>
      <c r="L17" s="37">
        <f t="shared" si="3"/>
        <v>20000</v>
      </c>
      <c r="N17" t="s">
        <v>48</v>
      </c>
    </row>
    <row r="18" spans="1:14" s="19" customFormat="1" x14ac:dyDescent="0.35">
      <c r="A18" s="21" t="s">
        <v>97</v>
      </c>
      <c r="B18" s="25"/>
      <c r="C18" s="43"/>
      <c r="D18" s="56"/>
      <c r="E18" s="59"/>
      <c r="F18" s="41">
        <v>21862</v>
      </c>
      <c r="G18" s="42">
        <v>10000</v>
      </c>
      <c r="H18" s="65"/>
      <c r="I18" s="74"/>
      <c r="J18" s="75"/>
      <c r="K18" s="76"/>
      <c r="L18" s="37"/>
      <c r="N18" s="15" t="s">
        <v>98</v>
      </c>
    </row>
    <row r="19" spans="1:14" s="19" customFormat="1" x14ac:dyDescent="0.35">
      <c r="A19" s="21" t="s">
        <v>60</v>
      </c>
      <c r="B19" s="25"/>
      <c r="C19" s="43">
        <f>31000+3677.61+15600</f>
        <v>50277.61</v>
      </c>
      <c r="D19" s="56"/>
      <c r="E19" s="59">
        <f t="shared" si="0"/>
        <v>50277.61</v>
      </c>
      <c r="F19" s="71">
        <v>3600</v>
      </c>
      <c r="G19" s="72"/>
      <c r="H19" s="65">
        <f t="shared" si="1"/>
        <v>3600</v>
      </c>
      <c r="I19" s="74"/>
      <c r="J19" s="75"/>
      <c r="K19" s="76"/>
      <c r="L19" s="37"/>
      <c r="N19" s="15" t="s">
        <v>96</v>
      </c>
    </row>
    <row r="20" spans="1:14" s="19" customFormat="1" x14ac:dyDescent="0.35">
      <c r="A20" s="24" t="s">
        <v>72</v>
      </c>
      <c r="B20" s="25"/>
      <c r="C20" s="43">
        <v>16100</v>
      </c>
      <c r="D20" s="56"/>
      <c r="E20" s="59">
        <f t="shared" si="0"/>
        <v>16100</v>
      </c>
      <c r="F20" s="71"/>
      <c r="G20" s="72"/>
      <c r="H20" s="65">
        <f t="shared" si="1"/>
        <v>0</v>
      </c>
      <c r="I20" s="74">
        <v>15000</v>
      </c>
      <c r="J20" s="75"/>
      <c r="K20" s="76">
        <f t="shared" si="2"/>
        <v>15000</v>
      </c>
      <c r="L20" s="37">
        <f t="shared" si="3"/>
        <v>-1100</v>
      </c>
      <c r="N20" s="19" t="s">
        <v>79</v>
      </c>
    </row>
    <row r="21" spans="1:14" s="19" customFormat="1" x14ac:dyDescent="0.35">
      <c r="A21" s="24" t="s">
        <v>77</v>
      </c>
      <c r="B21" s="25"/>
      <c r="C21" s="43">
        <v>8000</v>
      </c>
      <c r="D21" s="56"/>
      <c r="E21" s="59">
        <f t="shared" si="0"/>
        <v>8000</v>
      </c>
      <c r="F21" s="71">
        <v>15000</v>
      </c>
      <c r="G21" s="72"/>
      <c r="H21" s="65">
        <f t="shared" si="1"/>
        <v>15000</v>
      </c>
      <c r="I21" s="74"/>
      <c r="J21" s="75"/>
      <c r="K21" s="76"/>
      <c r="L21" s="37"/>
    </row>
    <row r="22" spans="1:14" s="19" customFormat="1" x14ac:dyDescent="0.35">
      <c r="A22" s="24" t="s">
        <v>55</v>
      </c>
      <c r="B22" s="25"/>
      <c r="C22" s="43">
        <v>6500</v>
      </c>
      <c r="D22" s="56"/>
      <c r="E22" s="59">
        <f t="shared" si="0"/>
        <v>6500</v>
      </c>
      <c r="F22" s="71"/>
      <c r="G22" s="72">
        <v>0</v>
      </c>
      <c r="H22" s="65">
        <f t="shared" si="1"/>
        <v>0</v>
      </c>
      <c r="I22" s="74">
        <f>55200-I73</f>
        <v>3600</v>
      </c>
      <c r="J22" s="75"/>
      <c r="K22" s="76">
        <f t="shared" si="2"/>
        <v>3600</v>
      </c>
      <c r="L22" s="37">
        <f t="shared" si="3"/>
        <v>-2900</v>
      </c>
    </row>
    <row r="23" spans="1:14" s="19" customFormat="1" x14ac:dyDescent="0.35">
      <c r="A23" s="24" t="s">
        <v>62</v>
      </c>
      <c r="B23" s="25"/>
      <c r="C23" s="43">
        <v>44160</v>
      </c>
      <c r="D23" s="56"/>
      <c r="E23" s="59">
        <f t="shared" si="0"/>
        <v>44160</v>
      </c>
      <c r="F23" s="71">
        <v>40000</v>
      </c>
      <c r="G23" s="72">
        <v>0</v>
      </c>
      <c r="H23" s="65">
        <f t="shared" si="1"/>
        <v>40000</v>
      </c>
      <c r="I23" s="74"/>
      <c r="J23" s="75"/>
      <c r="K23" s="76"/>
      <c r="L23" s="37"/>
    </row>
    <row r="24" spans="1:14" s="19" customFormat="1" x14ac:dyDescent="0.35">
      <c r="A24" s="24" t="s">
        <v>61</v>
      </c>
      <c r="B24" s="25"/>
      <c r="C24" s="43">
        <v>10000</v>
      </c>
      <c r="D24" s="56"/>
      <c r="E24" s="59">
        <f t="shared" si="0"/>
        <v>10000</v>
      </c>
      <c r="F24" s="71"/>
      <c r="G24" s="72"/>
      <c r="H24" s="65">
        <f t="shared" si="1"/>
        <v>0</v>
      </c>
      <c r="I24" s="74"/>
      <c r="J24" s="75"/>
      <c r="K24" s="76"/>
      <c r="L24" s="37"/>
    </row>
    <row r="25" spans="1:14" s="19" customFormat="1" x14ac:dyDescent="0.35">
      <c r="A25" s="26" t="s">
        <v>66</v>
      </c>
      <c r="B25" s="31"/>
      <c r="C25" s="47">
        <f>8262.47+6597.34+5247.44</f>
        <v>20107.25</v>
      </c>
      <c r="D25" s="56"/>
      <c r="E25" s="59">
        <f t="shared" si="0"/>
        <v>20107.25</v>
      </c>
      <c r="F25" s="71"/>
      <c r="G25" s="72"/>
      <c r="H25" s="65">
        <f t="shared" si="1"/>
        <v>0</v>
      </c>
      <c r="I25" s="74"/>
      <c r="J25" s="75"/>
      <c r="K25" s="76"/>
      <c r="L25" s="37"/>
    </row>
    <row r="26" spans="1:14" s="19" customFormat="1" x14ac:dyDescent="0.35">
      <c r="A26" s="24" t="s">
        <v>49</v>
      </c>
      <c r="B26" s="25"/>
      <c r="C26" s="43">
        <f>12885+2000</f>
        <v>14885</v>
      </c>
      <c r="D26" s="56"/>
      <c r="E26" s="59">
        <f t="shared" si="0"/>
        <v>14885</v>
      </c>
      <c r="F26" s="71">
        <v>12800</v>
      </c>
      <c r="G26" s="72"/>
      <c r="H26" s="65">
        <f t="shared" si="1"/>
        <v>12800</v>
      </c>
      <c r="I26" s="74">
        <v>12800</v>
      </c>
      <c r="J26" s="75"/>
      <c r="K26" s="76">
        <f t="shared" si="2"/>
        <v>12800</v>
      </c>
      <c r="L26" s="37"/>
      <c r="N26" s="19" t="s">
        <v>68</v>
      </c>
    </row>
    <row r="27" spans="1:14" s="19" customFormat="1" ht="15" thickBot="1" x14ac:dyDescent="0.4">
      <c r="A27" s="24"/>
      <c r="B27" s="25"/>
      <c r="C27" s="48">
        <f>SUM(C19:C26)</f>
        <v>170029.86</v>
      </c>
      <c r="D27" s="57">
        <f>SUM(D19:D26)</f>
        <v>0</v>
      </c>
      <c r="E27" s="54">
        <f>SUM(E19:E26)</f>
        <v>170029.86</v>
      </c>
      <c r="F27" s="54">
        <f>SUM(F17:F26)</f>
        <v>113262</v>
      </c>
      <c r="G27" s="54">
        <f>SUM(G17:G26)</f>
        <v>10000</v>
      </c>
      <c r="H27" s="54">
        <f>SUM(H17:H26)</f>
        <v>91400</v>
      </c>
      <c r="I27" s="74"/>
      <c r="J27" s="75"/>
      <c r="K27" s="76"/>
      <c r="L27" s="37"/>
    </row>
    <row r="28" spans="1:14" s="19" customFormat="1" ht="15" thickTop="1" x14ac:dyDescent="0.35">
      <c r="A28" s="24"/>
      <c r="B28" s="25"/>
      <c r="C28" s="43"/>
      <c r="D28" s="56"/>
      <c r="E28" s="59"/>
      <c r="F28" s="71"/>
      <c r="G28" s="72"/>
      <c r="H28" s="65"/>
      <c r="I28" s="74"/>
      <c r="J28" s="75"/>
      <c r="K28" s="76"/>
      <c r="L28" s="37"/>
    </row>
    <row r="29" spans="1:14" x14ac:dyDescent="0.35">
      <c r="A29" s="21" t="s">
        <v>6</v>
      </c>
      <c r="B29" s="18"/>
      <c r="C29" s="43">
        <v>6043</v>
      </c>
      <c r="D29" s="56"/>
      <c r="E29" s="59">
        <f t="shared" si="0"/>
        <v>6043</v>
      </c>
      <c r="F29" s="41">
        <v>2000</v>
      </c>
      <c r="G29" s="72">
        <v>3000</v>
      </c>
      <c r="H29" s="65">
        <f t="shared" si="1"/>
        <v>-1000</v>
      </c>
      <c r="I29" s="74">
        <v>2000</v>
      </c>
      <c r="J29" s="75"/>
      <c r="K29" s="76">
        <f t="shared" si="2"/>
        <v>2000</v>
      </c>
      <c r="L29" s="37">
        <f t="shared" si="3"/>
        <v>-4043</v>
      </c>
      <c r="N29" t="s">
        <v>31</v>
      </c>
    </row>
    <row r="30" spans="1:14" s="19" customFormat="1" x14ac:dyDescent="0.35">
      <c r="A30" s="24" t="s">
        <v>39</v>
      </c>
      <c r="B30" s="18"/>
      <c r="C30" s="43"/>
      <c r="D30" s="56">
        <f>5671+521.5+1250.75</f>
        <v>7443.25</v>
      </c>
      <c r="E30" s="59">
        <f t="shared" si="0"/>
        <v>-7443.25</v>
      </c>
      <c r="F30" s="71"/>
      <c r="G30" s="42">
        <v>20000</v>
      </c>
      <c r="H30" s="65">
        <f t="shared" si="1"/>
        <v>-20000</v>
      </c>
      <c r="I30" s="74"/>
      <c r="J30" s="75">
        <v>10000</v>
      </c>
      <c r="K30" s="76">
        <f t="shared" si="2"/>
        <v>-10000</v>
      </c>
      <c r="L30" s="37">
        <f t="shared" si="3"/>
        <v>-2556.75</v>
      </c>
    </row>
    <row r="31" spans="1:14" s="19" customFormat="1" x14ac:dyDescent="0.35">
      <c r="A31" s="24" t="s">
        <v>33</v>
      </c>
      <c r="B31" s="18"/>
      <c r="C31" s="43"/>
      <c r="D31" s="56">
        <v>0</v>
      </c>
      <c r="E31" s="59">
        <f t="shared" si="0"/>
        <v>0</v>
      </c>
      <c r="F31" s="71"/>
      <c r="G31" s="72"/>
      <c r="H31" s="65">
        <f t="shared" si="1"/>
        <v>0</v>
      </c>
      <c r="I31" s="74"/>
      <c r="J31" s="75">
        <v>0</v>
      </c>
      <c r="K31" s="76">
        <f t="shared" si="2"/>
        <v>0</v>
      </c>
      <c r="L31" s="37">
        <f t="shared" si="3"/>
        <v>0</v>
      </c>
    </row>
    <row r="32" spans="1:14" s="16" customFormat="1" x14ac:dyDescent="0.35">
      <c r="A32" s="24" t="s">
        <v>7</v>
      </c>
      <c r="B32" s="25"/>
      <c r="C32" s="43"/>
      <c r="D32" s="56">
        <v>1282</v>
      </c>
      <c r="E32" s="59">
        <f t="shared" si="0"/>
        <v>-1282</v>
      </c>
      <c r="F32" s="71"/>
      <c r="G32" s="72">
        <v>3000</v>
      </c>
      <c r="H32" s="65">
        <f t="shared" si="1"/>
        <v>-3000</v>
      </c>
      <c r="I32" s="74"/>
      <c r="J32" s="75">
        <v>3000</v>
      </c>
      <c r="K32" s="76">
        <f t="shared" si="2"/>
        <v>-3000</v>
      </c>
      <c r="L32" s="37">
        <f t="shared" si="3"/>
        <v>-1718</v>
      </c>
    </row>
    <row r="33" spans="1:22" s="19" customFormat="1" x14ac:dyDescent="0.35">
      <c r="A33" s="24"/>
      <c r="B33" s="25"/>
      <c r="C33" s="43"/>
      <c r="D33" s="56"/>
      <c r="E33" s="59">
        <f t="shared" si="0"/>
        <v>0</v>
      </c>
      <c r="F33" s="71"/>
      <c r="G33" s="72"/>
      <c r="H33" s="65">
        <f t="shared" si="1"/>
        <v>0</v>
      </c>
      <c r="I33" s="74"/>
      <c r="J33" s="75"/>
      <c r="K33" s="76">
        <f t="shared" si="2"/>
        <v>0</v>
      </c>
      <c r="L33" s="37">
        <f t="shared" si="3"/>
        <v>0</v>
      </c>
    </row>
    <row r="34" spans="1:22" x14ac:dyDescent="0.35">
      <c r="A34" s="21" t="s">
        <v>12</v>
      </c>
      <c r="B34" s="18"/>
      <c r="C34" s="43"/>
      <c r="D34" s="56">
        <f>8900+5468</f>
        <v>14368</v>
      </c>
      <c r="E34" s="59">
        <f t="shared" si="0"/>
        <v>-14368</v>
      </c>
      <c r="F34" s="71"/>
      <c r="G34" s="42">
        <f>5000+15000</f>
        <v>20000</v>
      </c>
      <c r="H34" s="65">
        <f t="shared" si="1"/>
        <v>-20000</v>
      </c>
      <c r="I34" s="74"/>
      <c r="J34" s="75">
        <v>15000</v>
      </c>
      <c r="K34" s="76">
        <f t="shared" si="2"/>
        <v>-15000</v>
      </c>
      <c r="L34" s="37">
        <f t="shared" si="3"/>
        <v>-632</v>
      </c>
      <c r="N34" t="s">
        <v>40</v>
      </c>
    </row>
    <row r="35" spans="1:22" s="19" customFormat="1" x14ac:dyDescent="0.35">
      <c r="A35" s="21" t="s">
        <v>83</v>
      </c>
      <c r="B35" s="18"/>
      <c r="C35" s="43"/>
      <c r="D35" s="56">
        <v>31600</v>
      </c>
      <c r="E35" s="59">
        <f t="shared" si="0"/>
        <v>-31600</v>
      </c>
      <c r="F35" s="71"/>
      <c r="G35" s="42">
        <v>31600</v>
      </c>
      <c r="H35" s="65">
        <f t="shared" si="1"/>
        <v>-31600</v>
      </c>
      <c r="I35" s="74"/>
      <c r="J35" s="42">
        <v>0</v>
      </c>
      <c r="K35" s="76">
        <f t="shared" si="2"/>
        <v>0</v>
      </c>
      <c r="L35" s="37">
        <f t="shared" si="3"/>
        <v>31600</v>
      </c>
      <c r="N35" s="19" t="s">
        <v>91</v>
      </c>
    </row>
    <row r="36" spans="1:22" x14ac:dyDescent="0.35">
      <c r="A36" s="32" t="s">
        <v>56</v>
      </c>
      <c r="B36" s="18"/>
      <c r="C36" s="43">
        <v>15791</v>
      </c>
      <c r="D36" s="56">
        <v>24251</v>
      </c>
      <c r="E36" s="59">
        <f t="shared" si="0"/>
        <v>-8460</v>
      </c>
      <c r="F36" s="71"/>
      <c r="G36" s="72"/>
      <c r="H36" s="65">
        <f t="shared" si="1"/>
        <v>0</v>
      </c>
      <c r="I36" s="74"/>
      <c r="J36" s="75"/>
      <c r="K36" s="76">
        <f>I36-J36</f>
        <v>0</v>
      </c>
      <c r="L36" s="37">
        <f>K36-E36</f>
        <v>8460</v>
      </c>
      <c r="N36" s="27"/>
    </row>
    <row r="37" spans="1:22" x14ac:dyDescent="0.35">
      <c r="A37" s="24" t="s">
        <v>7</v>
      </c>
      <c r="B37" s="18"/>
      <c r="C37" s="43"/>
      <c r="D37" s="56">
        <v>20290</v>
      </c>
      <c r="E37" s="59">
        <f t="shared" si="0"/>
        <v>-20290</v>
      </c>
      <c r="F37" s="71"/>
      <c r="G37" s="73">
        <v>22000</v>
      </c>
      <c r="H37" s="65">
        <f t="shared" si="1"/>
        <v>-22000</v>
      </c>
      <c r="I37" s="74"/>
      <c r="J37" s="75">
        <v>22000</v>
      </c>
      <c r="K37" s="76">
        <f t="shared" si="2"/>
        <v>-22000</v>
      </c>
      <c r="L37" s="37">
        <f t="shared" si="3"/>
        <v>-1710</v>
      </c>
    </row>
    <row r="38" spans="1:22" s="19" customFormat="1" x14ac:dyDescent="0.35">
      <c r="A38" s="24" t="s">
        <v>26</v>
      </c>
      <c r="B38" s="18"/>
      <c r="C38" s="43"/>
      <c r="D38" s="56"/>
      <c r="E38" s="59">
        <f t="shared" si="0"/>
        <v>0</v>
      </c>
      <c r="F38" s="66"/>
      <c r="G38" s="72">
        <v>0</v>
      </c>
      <c r="H38" s="65">
        <f t="shared" si="1"/>
        <v>0</v>
      </c>
      <c r="I38" s="74"/>
      <c r="J38" s="75"/>
      <c r="K38" s="76">
        <f t="shared" si="2"/>
        <v>0</v>
      </c>
      <c r="L38" s="37">
        <f t="shared" si="3"/>
        <v>0</v>
      </c>
    </row>
    <row r="39" spans="1:22" s="19" customFormat="1" ht="15" thickBot="1" x14ac:dyDescent="0.4">
      <c r="A39" s="24"/>
      <c r="B39" s="18"/>
      <c r="C39" s="48">
        <f>SUM(C29:C38)</f>
        <v>21834</v>
      </c>
      <c r="D39" s="48">
        <f>SUM(D29:D38)</f>
        <v>99234.25</v>
      </c>
      <c r="E39" s="48">
        <f>SUM(E29:E38)</f>
        <v>-77400.25</v>
      </c>
      <c r="F39" s="48">
        <f>SUM(F29:F38)</f>
        <v>2000</v>
      </c>
      <c r="G39" s="48">
        <f>SUM(G29:G38)</f>
        <v>99600</v>
      </c>
      <c r="H39" s="48">
        <f>SUM(H29:H38)</f>
        <v>-97600</v>
      </c>
      <c r="I39" s="74"/>
      <c r="J39" s="75"/>
      <c r="K39" s="76"/>
      <c r="L39" s="37"/>
    </row>
    <row r="40" spans="1:22" s="19" customFormat="1" ht="15" thickTop="1" x14ac:dyDescent="0.35">
      <c r="A40" s="24"/>
      <c r="B40" s="18"/>
      <c r="C40" s="43"/>
      <c r="D40" s="50"/>
      <c r="E40" s="50"/>
      <c r="F40" s="71"/>
      <c r="G40" s="72"/>
      <c r="H40" s="65">
        <f t="shared" si="1"/>
        <v>0</v>
      </c>
      <c r="I40" s="74"/>
      <c r="J40" s="75"/>
      <c r="K40" s="76"/>
      <c r="L40" s="37"/>
    </row>
    <row r="41" spans="1:22" s="19" customFormat="1" x14ac:dyDescent="0.35">
      <c r="A41" s="24" t="s">
        <v>63</v>
      </c>
      <c r="B41" s="18"/>
      <c r="C41" s="43">
        <v>4995.5</v>
      </c>
      <c r="D41" s="44"/>
      <c r="E41" s="60">
        <f>C41-D41</f>
        <v>4995.5</v>
      </c>
      <c r="F41" s="71"/>
      <c r="G41" s="72"/>
      <c r="H41" s="65">
        <f t="shared" si="1"/>
        <v>0</v>
      </c>
      <c r="I41" s="74"/>
      <c r="J41" s="75"/>
      <c r="K41" s="76">
        <f>I41-J41</f>
        <v>0</v>
      </c>
      <c r="L41" s="37">
        <f>K41-E41</f>
        <v>-4995.5</v>
      </c>
    </row>
    <row r="42" spans="1:22" s="19" customFormat="1" x14ac:dyDescent="0.35">
      <c r="A42" s="24" t="s">
        <v>54</v>
      </c>
      <c r="B42" s="25"/>
      <c r="C42" s="43">
        <v>6825.5</v>
      </c>
      <c r="D42" s="44"/>
      <c r="E42" s="60">
        <f t="shared" ref="E42:E43" si="9">C42-D42</f>
        <v>6825.5</v>
      </c>
      <c r="F42" s="71"/>
      <c r="G42" s="72"/>
      <c r="H42" s="65">
        <f t="shared" si="1"/>
        <v>0</v>
      </c>
      <c r="I42" s="74"/>
      <c r="J42" s="75"/>
      <c r="K42" s="76">
        <f>I42-J42</f>
        <v>0</v>
      </c>
      <c r="L42" s="37">
        <f>K42-E42</f>
        <v>-6825.5</v>
      </c>
    </row>
    <row r="43" spans="1:22" s="19" customFormat="1" x14ac:dyDescent="0.35">
      <c r="A43" s="24" t="s">
        <v>69</v>
      </c>
      <c r="B43" s="25"/>
      <c r="C43" s="43"/>
      <c r="D43" s="44">
        <v>6161.57</v>
      </c>
      <c r="E43" s="60">
        <f t="shared" si="9"/>
        <v>-6161.57</v>
      </c>
      <c r="F43" s="71"/>
      <c r="G43" s="72"/>
      <c r="H43" s="65">
        <f t="shared" si="1"/>
        <v>0</v>
      </c>
      <c r="I43" s="74"/>
      <c r="J43" s="75"/>
      <c r="K43" s="76"/>
      <c r="L43" s="37"/>
    </row>
    <row r="44" spans="1:22" s="19" customFormat="1" ht="15" thickBot="1" x14ac:dyDescent="0.4">
      <c r="A44" s="24"/>
      <c r="B44" s="25"/>
      <c r="C44" s="48">
        <f>SUM(C41:C43)</f>
        <v>11821</v>
      </c>
      <c r="D44" s="48">
        <f t="shared" ref="D44:H44" si="10">SUM(D41:D43)</f>
        <v>6161.57</v>
      </c>
      <c r="E44" s="49">
        <f t="shared" si="10"/>
        <v>5659.43</v>
      </c>
      <c r="F44" s="49">
        <f t="shared" si="10"/>
        <v>0</v>
      </c>
      <c r="G44" s="49">
        <f t="shared" si="10"/>
        <v>0</v>
      </c>
      <c r="H44" s="49">
        <f t="shared" si="10"/>
        <v>0</v>
      </c>
      <c r="I44" s="74"/>
      <c r="J44" s="75"/>
      <c r="K44" s="76"/>
      <c r="L44" s="37"/>
      <c r="N44" s="19" t="s">
        <v>90</v>
      </c>
    </row>
    <row r="45" spans="1:22" ht="15" thickTop="1" x14ac:dyDescent="0.35">
      <c r="A45" s="21" t="s">
        <v>16</v>
      </c>
      <c r="B45" s="18"/>
      <c r="C45" s="43"/>
      <c r="D45" s="44">
        <v>660</v>
      </c>
      <c r="E45" s="60">
        <f t="shared" si="0"/>
        <v>-660</v>
      </c>
      <c r="F45" s="71"/>
      <c r="G45" s="72">
        <v>7000</v>
      </c>
      <c r="H45" s="65">
        <f t="shared" si="1"/>
        <v>-7000</v>
      </c>
      <c r="I45" s="74"/>
      <c r="J45" s="75">
        <v>7000</v>
      </c>
      <c r="K45" s="76">
        <f t="shared" si="2"/>
        <v>-7000</v>
      </c>
      <c r="L45" s="37">
        <f t="shared" si="3"/>
        <v>-6340</v>
      </c>
      <c r="N45" t="s">
        <v>85</v>
      </c>
    </row>
    <row r="46" spans="1:22" x14ac:dyDescent="0.35">
      <c r="A46" s="21" t="s">
        <v>19</v>
      </c>
      <c r="B46" s="18"/>
      <c r="C46" s="43"/>
      <c r="D46" s="44"/>
      <c r="E46" s="60">
        <f t="shared" si="0"/>
        <v>0</v>
      </c>
      <c r="F46" s="71"/>
      <c r="G46" s="72">
        <v>2000</v>
      </c>
      <c r="H46" s="65">
        <f t="shared" si="1"/>
        <v>-2000</v>
      </c>
      <c r="I46" s="74"/>
      <c r="J46" s="75">
        <v>2000</v>
      </c>
      <c r="K46" s="76">
        <f t="shared" si="2"/>
        <v>-2000</v>
      </c>
      <c r="L46" s="37">
        <f t="shared" si="3"/>
        <v>-2000</v>
      </c>
      <c r="N46" s="27"/>
      <c r="O46" s="13"/>
      <c r="P46" s="13"/>
      <c r="Q46" s="13"/>
      <c r="V46" s="13"/>
    </row>
    <row r="47" spans="1:22" s="19" customFormat="1" x14ac:dyDescent="0.35">
      <c r="A47" s="21" t="s">
        <v>29</v>
      </c>
      <c r="B47" s="18"/>
      <c r="C47" s="43"/>
      <c r="D47" s="44"/>
      <c r="E47" s="60">
        <f t="shared" si="0"/>
        <v>0</v>
      </c>
      <c r="F47" s="71"/>
      <c r="G47" s="72"/>
      <c r="H47" s="65">
        <f t="shared" si="1"/>
        <v>0</v>
      </c>
      <c r="I47" s="74"/>
      <c r="J47" s="75"/>
      <c r="K47" s="76">
        <f t="shared" si="2"/>
        <v>0</v>
      </c>
      <c r="L47" s="37">
        <f t="shared" si="3"/>
        <v>0</v>
      </c>
    </row>
    <row r="48" spans="1:22" x14ac:dyDescent="0.35">
      <c r="A48" s="21" t="s">
        <v>7</v>
      </c>
      <c r="B48" s="18"/>
      <c r="C48" s="43"/>
      <c r="D48" s="44"/>
      <c r="E48" s="60">
        <f t="shared" si="0"/>
        <v>0</v>
      </c>
      <c r="F48" s="71"/>
      <c r="G48" s="72">
        <v>2000</v>
      </c>
      <c r="H48" s="65">
        <f t="shared" si="1"/>
        <v>-2000</v>
      </c>
      <c r="I48" s="74"/>
      <c r="J48" s="75">
        <v>2000</v>
      </c>
      <c r="K48" s="76">
        <f t="shared" si="2"/>
        <v>-2000</v>
      </c>
      <c r="L48" s="37">
        <f t="shared" si="3"/>
        <v>-2000</v>
      </c>
      <c r="N48" t="s">
        <v>36</v>
      </c>
    </row>
    <row r="49" spans="1:15" s="19" customFormat="1" x14ac:dyDescent="0.35">
      <c r="A49" s="26" t="s">
        <v>15</v>
      </c>
      <c r="B49" s="18"/>
      <c r="C49" s="43"/>
      <c r="D49" s="44">
        <v>1345</v>
      </c>
      <c r="E49" s="60">
        <f t="shared" si="0"/>
        <v>-1345</v>
      </c>
      <c r="F49" s="71"/>
      <c r="G49" s="72">
        <v>2200</v>
      </c>
      <c r="H49" s="65">
        <f t="shared" si="1"/>
        <v>-2200</v>
      </c>
      <c r="I49" s="74"/>
      <c r="J49" s="75">
        <v>2200</v>
      </c>
      <c r="K49" s="76">
        <f t="shared" si="2"/>
        <v>-2200</v>
      </c>
      <c r="L49" s="37">
        <f t="shared" si="3"/>
        <v>-855</v>
      </c>
      <c r="N49" s="19" t="s">
        <v>32</v>
      </c>
    </row>
    <row r="50" spans="1:15" s="19" customFormat="1" x14ac:dyDescent="0.35">
      <c r="A50" s="26" t="s">
        <v>4</v>
      </c>
      <c r="B50" s="31"/>
      <c r="C50" s="47">
        <v>285.08999999999997</v>
      </c>
      <c r="D50" s="61"/>
      <c r="E50" s="60">
        <f t="shared" si="0"/>
        <v>285.08999999999997</v>
      </c>
      <c r="F50" s="71">
        <v>200</v>
      </c>
      <c r="G50" s="72"/>
      <c r="H50" s="65">
        <f t="shared" si="1"/>
        <v>200</v>
      </c>
      <c r="I50" s="77">
        <v>200</v>
      </c>
      <c r="J50" s="78"/>
      <c r="K50" s="76">
        <f t="shared" si="2"/>
        <v>200</v>
      </c>
      <c r="L50" s="37">
        <f t="shared" si="3"/>
        <v>-85.089999999999975</v>
      </c>
      <c r="N50" s="19" t="s">
        <v>41</v>
      </c>
    </row>
    <row r="51" spans="1:15" s="19" customFormat="1" x14ac:dyDescent="0.35">
      <c r="A51" s="26"/>
      <c r="B51" s="31"/>
      <c r="C51" s="47"/>
      <c r="D51" s="61"/>
      <c r="E51" s="60">
        <f t="shared" si="0"/>
        <v>0</v>
      </c>
      <c r="F51" s="71"/>
      <c r="G51" s="72"/>
      <c r="H51" s="65">
        <f t="shared" si="1"/>
        <v>0</v>
      </c>
      <c r="I51" s="77"/>
      <c r="J51" s="78"/>
      <c r="K51" s="76"/>
      <c r="L51" s="37"/>
    </row>
    <row r="52" spans="1:15" x14ac:dyDescent="0.35">
      <c r="A52" s="21" t="s">
        <v>5</v>
      </c>
      <c r="B52" s="18"/>
      <c r="C52" s="45">
        <f>1200+5585</f>
        <v>6785</v>
      </c>
      <c r="D52" s="44">
        <v>6950</v>
      </c>
      <c r="E52" s="60">
        <f t="shared" si="0"/>
        <v>-165</v>
      </c>
      <c r="F52" s="71"/>
      <c r="G52" s="72">
        <v>5000</v>
      </c>
      <c r="H52" s="65">
        <f t="shared" si="1"/>
        <v>-5000</v>
      </c>
      <c r="I52" s="79"/>
      <c r="J52" s="75">
        <v>5000</v>
      </c>
      <c r="K52" s="76">
        <f t="shared" si="2"/>
        <v>-5000</v>
      </c>
      <c r="L52" s="37">
        <f t="shared" si="3"/>
        <v>-4835</v>
      </c>
      <c r="N52" s="27" t="s">
        <v>59</v>
      </c>
      <c r="O52" s="13"/>
    </row>
    <row r="53" spans="1:15" s="13" customFormat="1" x14ac:dyDescent="0.35">
      <c r="A53" s="24" t="s">
        <v>24</v>
      </c>
      <c r="B53" s="18"/>
      <c r="C53" s="43"/>
      <c r="D53" s="44"/>
      <c r="E53" s="60">
        <f t="shared" si="0"/>
        <v>0</v>
      </c>
      <c r="F53" s="71"/>
      <c r="G53" s="72"/>
      <c r="H53" s="65">
        <f t="shared" si="1"/>
        <v>0</v>
      </c>
      <c r="I53" s="74"/>
      <c r="J53" s="75"/>
      <c r="K53" s="76">
        <f t="shared" si="2"/>
        <v>0</v>
      </c>
      <c r="L53" s="37">
        <f t="shared" si="3"/>
        <v>0</v>
      </c>
    </row>
    <row r="54" spans="1:15" s="19" customFormat="1" x14ac:dyDescent="0.35">
      <c r="A54" s="24"/>
      <c r="B54" s="18"/>
      <c r="C54" s="43"/>
      <c r="D54" s="44"/>
      <c r="E54" s="60">
        <f t="shared" si="0"/>
        <v>0</v>
      </c>
      <c r="F54" s="71"/>
      <c r="G54" s="72"/>
      <c r="H54" s="65">
        <f t="shared" si="1"/>
        <v>0</v>
      </c>
      <c r="I54" s="74"/>
      <c r="J54" s="75"/>
      <c r="K54" s="76"/>
      <c r="L54" s="37"/>
    </row>
    <row r="55" spans="1:15" x14ac:dyDescent="0.35">
      <c r="A55" s="21" t="s">
        <v>21</v>
      </c>
      <c r="B55" s="18"/>
      <c r="C55" s="43"/>
      <c r="D55" s="44"/>
      <c r="E55" s="60">
        <f t="shared" si="0"/>
        <v>0</v>
      </c>
      <c r="F55" s="71"/>
      <c r="G55" s="72"/>
      <c r="H55" s="65">
        <f t="shared" si="1"/>
        <v>0</v>
      </c>
      <c r="I55" s="74"/>
      <c r="J55" s="75"/>
      <c r="K55" s="76">
        <f t="shared" si="2"/>
        <v>0</v>
      </c>
      <c r="L55" s="37">
        <f t="shared" si="3"/>
        <v>0</v>
      </c>
    </row>
    <row r="56" spans="1:15" s="19" customFormat="1" x14ac:dyDescent="0.35">
      <c r="A56" s="24" t="s">
        <v>58</v>
      </c>
      <c r="B56" s="18"/>
      <c r="C56" s="43">
        <v>10766</v>
      </c>
      <c r="D56" s="44">
        <v>10766</v>
      </c>
      <c r="E56" s="60">
        <f t="shared" si="0"/>
        <v>0</v>
      </c>
      <c r="F56" s="71"/>
      <c r="G56" s="72"/>
      <c r="H56" s="65">
        <f t="shared" si="1"/>
        <v>0</v>
      </c>
      <c r="I56" s="74"/>
      <c r="J56" s="75"/>
      <c r="K56" s="76"/>
      <c r="L56" s="37"/>
      <c r="N56" s="19" t="s">
        <v>86</v>
      </c>
    </row>
    <row r="57" spans="1:15" s="19" customFormat="1" x14ac:dyDescent="0.35">
      <c r="A57" s="24"/>
      <c r="B57" s="18"/>
      <c r="C57" s="43"/>
      <c r="D57" s="44"/>
      <c r="E57" s="60">
        <f t="shared" si="0"/>
        <v>0</v>
      </c>
      <c r="F57" s="71"/>
      <c r="G57" s="72"/>
      <c r="H57" s="65">
        <f t="shared" si="1"/>
        <v>0</v>
      </c>
      <c r="I57" s="74"/>
      <c r="J57" s="75"/>
      <c r="K57" s="76">
        <f t="shared" si="2"/>
        <v>0</v>
      </c>
      <c r="L57" s="37">
        <f t="shared" si="3"/>
        <v>0</v>
      </c>
      <c r="N57" s="30"/>
    </row>
    <row r="58" spans="1:15" s="19" customFormat="1" x14ac:dyDescent="0.35">
      <c r="A58" s="24" t="s">
        <v>67</v>
      </c>
      <c r="B58" s="25"/>
      <c r="C58" s="43">
        <v>49540</v>
      </c>
      <c r="D58" s="56"/>
      <c r="E58" s="60">
        <f t="shared" si="0"/>
        <v>49540</v>
      </c>
      <c r="F58" s="71"/>
      <c r="G58" s="72"/>
      <c r="H58" s="65">
        <f t="shared" si="1"/>
        <v>0</v>
      </c>
      <c r="I58" s="74"/>
      <c r="J58" s="75"/>
      <c r="K58" s="76"/>
      <c r="L58" s="37"/>
    </row>
    <row r="59" spans="1:15" s="19" customFormat="1" x14ac:dyDescent="0.35">
      <c r="A59" s="24"/>
      <c r="B59" s="25"/>
      <c r="C59" s="43"/>
      <c r="D59" s="56"/>
      <c r="E59" s="60">
        <f t="shared" si="0"/>
        <v>0</v>
      </c>
      <c r="F59" s="71"/>
      <c r="G59" s="72"/>
      <c r="H59" s="65">
        <f t="shared" si="1"/>
        <v>0</v>
      </c>
      <c r="I59" s="74"/>
      <c r="J59" s="75"/>
      <c r="K59" s="76"/>
      <c r="L59" s="37"/>
    </row>
    <row r="60" spans="1:15" s="19" customFormat="1" x14ac:dyDescent="0.35">
      <c r="A60" s="24"/>
      <c r="B60" s="18"/>
      <c r="C60" s="43"/>
      <c r="D60" s="44"/>
      <c r="E60" s="60">
        <f t="shared" si="0"/>
        <v>0</v>
      </c>
      <c r="F60" s="71"/>
      <c r="G60" s="72"/>
      <c r="H60" s="65">
        <f t="shared" si="1"/>
        <v>0</v>
      </c>
      <c r="I60" s="74"/>
      <c r="J60" s="75"/>
      <c r="K60" s="76">
        <f t="shared" si="2"/>
        <v>0</v>
      </c>
      <c r="L60" s="37">
        <f t="shared" si="3"/>
        <v>0</v>
      </c>
    </row>
    <row r="61" spans="1:15" s="19" customFormat="1" x14ac:dyDescent="0.35">
      <c r="A61" s="26" t="s">
        <v>28</v>
      </c>
      <c r="B61" s="18"/>
      <c r="C61" s="43"/>
      <c r="D61" s="44"/>
      <c r="E61" s="60">
        <f t="shared" si="0"/>
        <v>0</v>
      </c>
      <c r="F61" s="71"/>
      <c r="G61" s="72"/>
      <c r="H61" s="65">
        <f t="shared" si="1"/>
        <v>0</v>
      </c>
      <c r="I61" s="74"/>
      <c r="J61" s="75"/>
      <c r="K61" s="76">
        <f t="shared" si="2"/>
        <v>0</v>
      </c>
      <c r="L61" s="37">
        <f t="shared" si="3"/>
        <v>0</v>
      </c>
    </row>
    <row r="62" spans="1:15" s="19" customFormat="1" x14ac:dyDescent="0.35">
      <c r="A62" s="29" t="s">
        <v>64</v>
      </c>
      <c r="B62" s="18"/>
      <c r="C62" s="43"/>
      <c r="D62" s="44"/>
      <c r="E62" s="60">
        <f t="shared" si="0"/>
        <v>0</v>
      </c>
      <c r="F62" s="71"/>
      <c r="G62" s="72"/>
      <c r="H62" s="65">
        <f t="shared" si="1"/>
        <v>0</v>
      </c>
      <c r="I62" s="74"/>
      <c r="J62" s="75"/>
      <c r="K62" s="76">
        <f t="shared" si="2"/>
        <v>0</v>
      </c>
      <c r="L62" s="37">
        <f t="shared" si="3"/>
        <v>0</v>
      </c>
      <c r="N62" s="15"/>
    </row>
    <row r="63" spans="1:15" s="19" customFormat="1" x14ac:dyDescent="0.35">
      <c r="A63" s="29" t="s">
        <v>65</v>
      </c>
      <c r="B63" s="18"/>
      <c r="C63" s="43"/>
      <c r="D63" s="44">
        <v>3250</v>
      </c>
      <c r="E63" s="60">
        <f t="shared" si="0"/>
        <v>-3250</v>
      </c>
      <c r="F63" s="71"/>
      <c r="G63" s="72"/>
      <c r="H63" s="65">
        <f t="shared" si="1"/>
        <v>0</v>
      </c>
      <c r="I63" s="74"/>
      <c r="J63" s="75"/>
      <c r="K63" s="76"/>
      <c r="L63" s="37"/>
      <c r="N63" s="15"/>
    </row>
    <row r="64" spans="1:15" s="19" customFormat="1" x14ac:dyDescent="0.35">
      <c r="A64" s="29" t="s">
        <v>34</v>
      </c>
      <c r="B64" s="18"/>
      <c r="C64" s="43"/>
      <c r="D64" s="44"/>
      <c r="E64" s="60">
        <f t="shared" si="0"/>
        <v>0</v>
      </c>
      <c r="F64" s="71"/>
      <c r="G64" s="72"/>
      <c r="H64" s="65">
        <f t="shared" si="1"/>
        <v>0</v>
      </c>
      <c r="I64" s="74"/>
      <c r="J64" s="75"/>
      <c r="K64" s="76">
        <f t="shared" si="2"/>
        <v>0</v>
      </c>
      <c r="L64" s="37">
        <f t="shared" si="3"/>
        <v>0</v>
      </c>
      <c r="N64" s="27" t="s">
        <v>38</v>
      </c>
    </row>
    <row r="65" spans="1:14" s="19" customFormat="1" x14ac:dyDescent="0.35">
      <c r="A65" s="29"/>
      <c r="B65" s="18"/>
      <c r="C65" s="43"/>
      <c r="D65" s="44"/>
      <c r="E65" s="60">
        <f t="shared" si="0"/>
        <v>0</v>
      </c>
      <c r="F65" s="71"/>
      <c r="G65" s="72"/>
      <c r="H65" s="65">
        <f t="shared" si="1"/>
        <v>0</v>
      </c>
      <c r="I65" s="74"/>
      <c r="J65" s="75"/>
      <c r="K65" s="76"/>
      <c r="L65" s="37"/>
      <c r="N65" s="27"/>
    </row>
    <row r="66" spans="1:14" s="19" customFormat="1" x14ac:dyDescent="0.35">
      <c r="A66" s="46" t="s">
        <v>76</v>
      </c>
      <c r="B66" s="18"/>
      <c r="C66" s="43"/>
      <c r="D66" s="44">
        <f>812</f>
        <v>812</v>
      </c>
      <c r="E66" s="60">
        <f t="shared" si="0"/>
        <v>-812</v>
      </c>
      <c r="F66" s="71"/>
      <c r="G66" s="72"/>
      <c r="H66" s="65">
        <f t="shared" si="1"/>
        <v>0</v>
      </c>
      <c r="I66" s="74"/>
      <c r="J66" s="75"/>
      <c r="K66" s="76"/>
      <c r="L66" s="37"/>
      <c r="N66" s="27"/>
    </row>
    <row r="67" spans="1:14" s="19" customFormat="1" x14ac:dyDescent="0.35">
      <c r="A67" s="46"/>
      <c r="B67" s="18"/>
      <c r="C67" s="43"/>
      <c r="D67" s="44"/>
      <c r="E67" s="60">
        <f t="shared" si="0"/>
        <v>0</v>
      </c>
      <c r="F67" s="71"/>
      <c r="G67" s="72"/>
      <c r="H67" s="65">
        <f t="shared" si="1"/>
        <v>0</v>
      </c>
      <c r="I67" s="74"/>
      <c r="J67" s="75"/>
      <c r="K67" s="76"/>
      <c r="L67" s="37"/>
      <c r="N67" s="27"/>
    </row>
    <row r="68" spans="1:14" x14ac:dyDescent="0.35">
      <c r="A68" s="21" t="s">
        <v>17</v>
      </c>
      <c r="B68" s="18"/>
      <c r="C68" s="43"/>
      <c r="D68" s="44">
        <v>2400</v>
      </c>
      <c r="E68" s="60">
        <f t="shared" si="0"/>
        <v>-2400</v>
      </c>
      <c r="F68" s="71"/>
      <c r="G68" s="72">
        <v>1500</v>
      </c>
      <c r="H68" s="65">
        <f t="shared" si="1"/>
        <v>-1500</v>
      </c>
      <c r="I68" s="74"/>
      <c r="J68" s="75">
        <v>1500</v>
      </c>
      <c r="K68" s="76">
        <f t="shared" si="2"/>
        <v>-1500</v>
      </c>
      <c r="L68" s="37">
        <f t="shared" si="3"/>
        <v>900</v>
      </c>
      <c r="N68" t="s">
        <v>80</v>
      </c>
    </row>
    <row r="69" spans="1:14" s="13" customFormat="1" x14ac:dyDescent="0.35">
      <c r="A69" s="21" t="s">
        <v>42</v>
      </c>
      <c r="B69" s="18"/>
      <c r="C69" s="43"/>
      <c r="D69" s="44">
        <f>15927+6100</f>
        <v>22027</v>
      </c>
      <c r="E69" s="60">
        <f t="shared" si="0"/>
        <v>-22027</v>
      </c>
      <c r="F69" s="71">
        <v>1000</v>
      </c>
      <c r="G69" s="72">
        <v>14000</v>
      </c>
      <c r="H69" s="65">
        <f t="shared" si="1"/>
        <v>-13000</v>
      </c>
      <c r="I69" s="74">
        <v>1000</v>
      </c>
      <c r="J69" s="75">
        <v>14000</v>
      </c>
      <c r="K69" s="76">
        <f t="shared" si="2"/>
        <v>-13000</v>
      </c>
      <c r="L69" s="37">
        <f t="shared" si="3"/>
        <v>9027</v>
      </c>
      <c r="N69" s="13" t="s">
        <v>89</v>
      </c>
    </row>
    <row r="70" spans="1:14" s="16" customFormat="1" x14ac:dyDescent="0.35">
      <c r="A70" s="21" t="s">
        <v>13</v>
      </c>
      <c r="B70" s="18"/>
      <c r="C70" s="43"/>
      <c r="D70" s="44"/>
      <c r="E70" s="60">
        <f t="shared" si="0"/>
        <v>0</v>
      </c>
      <c r="F70" s="71"/>
      <c r="G70" s="72"/>
      <c r="H70" s="65">
        <f t="shared" si="1"/>
        <v>0</v>
      </c>
      <c r="I70" s="74"/>
      <c r="J70" s="75"/>
      <c r="K70" s="76">
        <f t="shared" si="2"/>
        <v>0</v>
      </c>
      <c r="L70" s="37">
        <f t="shared" si="3"/>
        <v>0</v>
      </c>
      <c r="N70" s="16" t="s">
        <v>87</v>
      </c>
    </row>
    <row r="71" spans="1:14" s="19" customFormat="1" x14ac:dyDescent="0.35">
      <c r="A71" s="21" t="s">
        <v>25</v>
      </c>
      <c r="B71" s="18"/>
      <c r="C71" s="43"/>
      <c r="D71" s="44"/>
      <c r="E71" s="60">
        <f t="shared" si="0"/>
        <v>0</v>
      </c>
      <c r="F71" s="71"/>
      <c r="G71" s="72"/>
      <c r="H71" s="65">
        <f t="shared" ref="H71:H79" si="11">F71-G71</f>
        <v>0</v>
      </c>
      <c r="I71" s="74"/>
      <c r="J71" s="75"/>
      <c r="K71" s="76">
        <f t="shared" si="2"/>
        <v>0</v>
      </c>
      <c r="L71" s="37">
        <f t="shared" si="3"/>
        <v>0</v>
      </c>
    </row>
    <row r="72" spans="1:14" s="16" customFormat="1" x14ac:dyDescent="0.35">
      <c r="A72" s="26" t="s">
        <v>20</v>
      </c>
      <c r="B72" s="18"/>
      <c r="C72" s="43"/>
      <c r="D72" s="44"/>
      <c r="E72" s="60">
        <f t="shared" si="0"/>
        <v>0</v>
      </c>
      <c r="F72" s="71">
        <v>2500</v>
      </c>
      <c r="G72" s="72">
        <v>2500</v>
      </c>
      <c r="H72" s="65">
        <f t="shared" si="11"/>
        <v>0</v>
      </c>
      <c r="I72" s="74">
        <v>2500</v>
      </c>
      <c r="J72" s="75">
        <v>2500</v>
      </c>
      <c r="K72" s="76">
        <f t="shared" si="2"/>
        <v>0</v>
      </c>
      <c r="L72" s="37">
        <f t="shared" si="3"/>
        <v>0</v>
      </c>
    </row>
    <row r="73" spans="1:14" s="19" customFormat="1" x14ac:dyDescent="0.35">
      <c r="A73" s="26" t="s">
        <v>71</v>
      </c>
      <c r="B73" s="18"/>
      <c r="C73" s="43">
        <f>29698.53-3677.61-15800</f>
        <v>10220.919999999998</v>
      </c>
      <c r="D73" s="44">
        <v>3950.09</v>
      </c>
      <c r="E73" s="60">
        <f t="shared" si="0"/>
        <v>6270.8299999999981</v>
      </c>
      <c r="F73" s="71"/>
      <c r="G73" s="72"/>
      <c r="H73" s="65">
        <f t="shared" si="11"/>
        <v>0</v>
      </c>
      <c r="I73" s="74">
        <v>51600</v>
      </c>
      <c r="J73" s="75">
        <v>51600</v>
      </c>
      <c r="K73" s="76">
        <f t="shared" si="2"/>
        <v>0</v>
      </c>
      <c r="L73" s="37">
        <f t="shared" si="3"/>
        <v>-6270.8299999999981</v>
      </c>
      <c r="N73" s="19" t="s">
        <v>82</v>
      </c>
    </row>
    <row r="74" spans="1:14" s="19" customFormat="1" x14ac:dyDescent="0.35">
      <c r="A74" s="26" t="s">
        <v>92</v>
      </c>
      <c r="B74" s="18"/>
      <c r="C74" s="43"/>
      <c r="D74" s="44">
        <f>4000+15600+31000</f>
        <v>50600</v>
      </c>
      <c r="E74" s="60">
        <f t="shared" si="0"/>
        <v>-50600</v>
      </c>
      <c r="F74" s="41">
        <v>51600</v>
      </c>
      <c r="G74" s="42">
        <v>51600</v>
      </c>
      <c r="H74" s="65">
        <f t="shared" si="11"/>
        <v>0</v>
      </c>
      <c r="I74" s="74"/>
      <c r="J74" s="75">
        <v>4000</v>
      </c>
      <c r="K74" s="76"/>
      <c r="L74" s="37"/>
    </row>
    <row r="75" spans="1:14" s="19" customFormat="1" x14ac:dyDescent="0.35">
      <c r="A75" s="26" t="s">
        <v>93</v>
      </c>
      <c r="B75" s="18"/>
      <c r="C75" s="43"/>
      <c r="D75" s="44"/>
      <c r="E75" s="60"/>
      <c r="F75" s="41"/>
      <c r="G75" s="42">
        <v>4000</v>
      </c>
      <c r="H75" s="65"/>
      <c r="I75" s="74"/>
      <c r="J75" s="75"/>
      <c r="K75" s="76"/>
      <c r="L75" s="37"/>
    </row>
    <row r="76" spans="1:14" s="19" customFormat="1" x14ac:dyDescent="0.35">
      <c r="A76" s="26" t="s">
        <v>50</v>
      </c>
      <c r="B76" s="18"/>
      <c r="C76" s="43">
        <v>178000</v>
      </c>
      <c r="D76" s="44"/>
      <c r="E76" s="60">
        <f t="shared" si="0"/>
        <v>178000</v>
      </c>
      <c r="F76" s="71">
        <v>178000</v>
      </c>
      <c r="G76" s="72">
        <v>178000</v>
      </c>
      <c r="H76" s="65">
        <f t="shared" si="11"/>
        <v>0</v>
      </c>
      <c r="I76" s="74"/>
      <c r="J76" s="75"/>
      <c r="K76" s="76"/>
      <c r="L76" s="37"/>
      <c r="N76" s="19" t="s">
        <v>81</v>
      </c>
    </row>
    <row r="77" spans="1:14" s="19" customFormat="1" x14ac:dyDescent="0.35">
      <c r="A77" s="26" t="s">
        <v>53</v>
      </c>
      <c r="B77" s="18"/>
      <c r="C77" s="43"/>
      <c r="D77" s="44">
        <v>130800</v>
      </c>
      <c r="E77" s="60">
        <f t="shared" si="0"/>
        <v>-130800</v>
      </c>
      <c r="F77" s="71"/>
      <c r="G77" s="72"/>
      <c r="H77" s="65">
        <f t="shared" si="11"/>
        <v>0</v>
      </c>
      <c r="I77" s="74">
        <v>178000</v>
      </c>
      <c r="J77" s="75">
        <v>178000</v>
      </c>
      <c r="K77" s="76"/>
      <c r="L77" s="37"/>
      <c r="N77" s="19" t="s">
        <v>51</v>
      </c>
    </row>
    <row r="78" spans="1:14" s="19" customFormat="1" x14ac:dyDescent="0.35">
      <c r="A78" s="26" t="s">
        <v>35</v>
      </c>
      <c r="B78" s="18"/>
      <c r="C78" s="43">
        <v>42340.27</v>
      </c>
      <c r="D78" s="44">
        <f>13822+3400+5800</f>
        <v>23022</v>
      </c>
      <c r="E78" s="60">
        <f t="shared" si="0"/>
        <v>19318.269999999997</v>
      </c>
      <c r="F78" s="71">
        <v>20000</v>
      </c>
      <c r="G78" s="72">
        <v>20000</v>
      </c>
      <c r="H78" s="65">
        <f t="shared" si="11"/>
        <v>0</v>
      </c>
      <c r="I78" s="74">
        <v>20000</v>
      </c>
      <c r="J78" s="75">
        <v>20000</v>
      </c>
      <c r="K78" s="76">
        <f t="shared" si="2"/>
        <v>0</v>
      </c>
      <c r="L78" s="37">
        <f t="shared" si="3"/>
        <v>-19318.269999999997</v>
      </c>
      <c r="N78" s="19" t="s">
        <v>84</v>
      </c>
    </row>
    <row r="79" spans="1:14" s="19" customFormat="1" x14ac:dyDescent="0.35">
      <c r="A79" s="26" t="s">
        <v>22</v>
      </c>
      <c r="B79" s="18"/>
      <c r="C79" s="43"/>
      <c r="D79" s="44"/>
      <c r="E79" s="60">
        <f t="shared" si="0"/>
        <v>0</v>
      </c>
      <c r="F79" s="71"/>
      <c r="G79" s="72"/>
      <c r="H79" s="65">
        <f t="shared" si="11"/>
        <v>0</v>
      </c>
      <c r="I79" s="74"/>
      <c r="J79" s="75"/>
      <c r="K79" s="76">
        <f t="shared" si="2"/>
        <v>0</v>
      </c>
      <c r="L79" s="37">
        <f t="shared" si="3"/>
        <v>0</v>
      </c>
    </row>
    <row r="80" spans="1:14" s="19" customFormat="1" ht="15" thickBot="1" x14ac:dyDescent="0.4">
      <c r="A80" s="26"/>
      <c r="B80" s="58"/>
      <c r="C80" s="43">
        <f>SUM(C45:C79)</f>
        <v>297937.28000000003</v>
      </c>
      <c r="D80" s="43">
        <f>SUM(D45:D79)</f>
        <v>256582.09</v>
      </c>
      <c r="E80" s="43">
        <f>SUM(E45:E79)</f>
        <v>41355.189999999981</v>
      </c>
      <c r="F80" s="43">
        <f>SUM(F45:F79)</f>
        <v>253300</v>
      </c>
      <c r="G80" s="43">
        <f>SUM(G45:G79)</f>
        <v>289800</v>
      </c>
      <c r="H80" s="43">
        <f>SUM(H45:H79)</f>
        <v>-32500</v>
      </c>
      <c r="I80" s="74"/>
      <c r="J80" s="75"/>
      <c r="K80" s="76"/>
      <c r="L80" s="37"/>
    </row>
    <row r="81" spans="1:12" ht="15" thickBot="1" x14ac:dyDescent="0.4">
      <c r="A81" s="10" t="s">
        <v>8</v>
      </c>
      <c r="B81" s="14"/>
      <c r="C81" s="34">
        <f>SUM(C80+C44+C39+C27+C15+C8)</f>
        <v>570671.96</v>
      </c>
      <c r="D81" s="34">
        <f>SUM(D80+D44+D39+D27+D15+D8)</f>
        <v>459212.61</v>
      </c>
      <c r="E81" s="34">
        <f>SUM(E80+E44+E39+E27+E15+E8)</f>
        <v>111459.34999999998</v>
      </c>
      <c r="F81" s="34">
        <f>SUM(F80+F44+F39+F27+F15+F8)</f>
        <v>440662</v>
      </c>
      <c r="G81" s="34">
        <f>SUM(G80+G44+G39+G27+G15+G8)</f>
        <v>472995</v>
      </c>
      <c r="H81" s="34">
        <f>SUM(H80+H44+H39+H27+H15+H8)</f>
        <v>-40195</v>
      </c>
      <c r="I81" s="34">
        <f>SUM(I5:I79)</f>
        <v>383700</v>
      </c>
      <c r="J81" s="17">
        <f>SUM(J5:J79)</f>
        <v>409250</v>
      </c>
      <c r="K81" s="40">
        <f>SUM(K5:K79)</f>
        <v>-21550</v>
      </c>
      <c r="L81" s="38">
        <f>K81-E81</f>
        <v>-133009.34999999998</v>
      </c>
    </row>
    <row r="82" spans="1:12" x14ac:dyDescent="0.35">
      <c r="A82" t="s">
        <v>95</v>
      </c>
      <c r="C82" s="20">
        <f>C81</f>
        <v>570671.96</v>
      </c>
      <c r="D82" s="20">
        <f>D81-D35</f>
        <v>427612.61</v>
      </c>
      <c r="E82" s="20">
        <f>SUM(C82-D82)</f>
        <v>143059.34999999998</v>
      </c>
      <c r="F82" s="20">
        <f>F81</f>
        <v>440662</v>
      </c>
      <c r="G82" s="20">
        <f>G81-G35</f>
        <v>441395</v>
      </c>
      <c r="H82" s="20">
        <f>SUM(F82-G82)</f>
        <v>-733</v>
      </c>
      <c r="I82" s="20"/>
      <c r="J82" s="5"/>
      <c r="K82" s="5"/>
    </row>
    <row r="83" spans="1:12" s="19" customFormat="1" x14ac:dyDescent="0.35">
      <c r="I83" s="20"/>
      <c r="J83" s="20"/>
      <c r="K83"/>
    </row>
    <row r="84" spans="1:12" x14ac:dyDescent="0.35">
      <c r="A84" s="62" t="s">
        <v>73</v>
      </c>
      <c r="B84" s="19"/>
      <c r="C84" s="19"/>
      <c r="D84" s="19"/>
      <c r="E84" s="19">
        <f>130528.43+63141.04</f>
        <v>193669.47</v>
      </c>
      <c r="F84" s="6"/>
      <c r="G84" s="6"/>
      <c r="H84" s="6"/>
      <c r="I84" s="9"/>
      <c r="K84" s="5"/>
    </row>
    <row r="85" spans="1:12" ht="15" thickBot="1" x14ac:dyDescent="0.4">
      <c r="A85" s="63" t="s">
        <v>74</v>
      </c>
      <c r="B85" s="15"/>
      <c r="E85" s="64">
        <f>E82+E84</f>
        <v>336728.81999999995</v>
      </c>
      <c r="I85" s="20"/>
      <c r="J85" s="35"/>
      <c r="K85" s="5"/>
      <c r="L85" s="20"/>
    </row>
    <row r="86" spans="1:12" ht="15" thickTop="1" x14ac:dyDescent="0.35">
      <c r="J86" s="3"/>
    </row>
    <row r="87" spans="1:12" x14ac:dyDescent="0.35">
      <c r="F87" s="6"/>
      <c r="G87" s="6"/>
      <c r="H87" s="6"/>
      <c r="I87" s="6"/>
    </row>
    <row r="88" spans="1:12" x14ac:dyDescent="0.35">
      <c r="A88" s="28"/>
      <c r="B88" s="27"/>
      <c r="F88" s="6"/>
      <c r="G88" s="6"/>
      <c r="H88" s="6"/>
      <c r="I88" s="6"/>
    </row>
    <row r="89" spans="1:12" x14ac:dyDescent="0.35">
      <c r="A89" s="28"/>
      <c r="B89" s="27"/>
      <c r="C89" s="6"/>
      <c r="D89" s="6"/>
      <c r="F89" s="6"/>
      <c r="G89" s="6"/>
      <c r="H89" s="6"/>
      <c r="I89" s="6"/>
    </row>
    <row r="90" spans="1:12" x14ac:dyDescent="0.35">
      <c r="A90" s="28"/>
      <c r="B90" s="27"/>
      <c r="C90" s="6"/>
      <c r="D90" s="6"/>
      <c r="F90" s="6"/>
      <c r="G90" s="6"/>
      <c r="H90" s="6"/>
      <c r="I90" s="6"/>
    </row>
    <row r="91" spans="1:12" x14ac:dyDescent="0.35">
      <c r="A91" s="28"/>
      <c r="B91" s="27"/>
      <c r="C91" s="6"/>
      <c r="D91" s="6"/>
      <c r="F91" s="6"/>
      <c r="G91" s="6"/>
      <c r="H91" s="6"/>
      <c r="I91" s="6"/>
    </row>
    <row r="92" spans="1:12" x14ac:dyDescent="0.35">
      <c r="A92" s="28"/>
      <c r="B92" s="27"/>
      <c r="C92" s="7"/>
      <c r="D92" s="6"/>
      <c r="E92" s="6"/>
      <c r="F92" s="6"/>
      <c r="G92" s="6"/>
      <c r="H92" s="6"/>
      <c r="I92" s="6"/>
    </row>
    <row r="93" spans="1:12" x14ac:dyDescent="0.35">
      <c r="A93" s="28"/>
      <c r="B93" s="27"/>
      <c r="C93" s="6"/>
      <c r="D93" s="6"/>
      <c r="E93" s="6"/>
      <c r="F93" s="6"/>
      <c r="G93" s="6"/>
      <c r="H93" s="6"/>
      <c r="I93" s="6"/>
    </row>
    <row r="94" spans="1:12" x14ac:dyDescent="0.35">
      <c r="A94" s="28"/>
      <c r="B94" s="27"/>
      <c r="C94" s="6"/>
      <c r="D94" s="6"/>
      <c r="E94" s="6"/>
      <c r="F94" s="6"/>
      <c r="G94" s="6"/>
      <c r="H94" s="6"/>
      <c r="I94" s="6"/>
    </row>
    <row r="95" spans="1:12" x14ac:dyDescent="0.35">
      <c r="A95" s="28"/>
      <c r="B95" s="27"/>
      <c r="C95" s="6"/>
      <c r="D95" s="6"/>
      <c r="E95" s="6"/>
      <c r="F95" s="6"/>
      <c r="G95" s="6"/>
      <c r="H95" s="6"/>
      <c r="I95" s="6"/>
    </row>
    <row r="96" spans="1:12" x14ac:dyDescent="0.35">
      <c r="A96" s="28"/>
      <c r="B96" s="27"/>
      <c r="C96" s="6"/>
      <c r="D96" s="6"/>
      <c r="E96" s="6"/>
      <c r="F96" s="6"/>
      <c r="G96" s="6"/>
      <c r="H96" s="6"/>
      <c r="I96" s="6"/>
    </row>
    <row r="97" spans="1:9" x14ac:dyDescent="0.35">
      <c r="A97" s="28"/>
      <c r="B97" s="27"/>
      <c r="C97" s="6"/>
      <c r="D97" s="6"/>
      <c r="E97" s="6"/>
      <c r="F97" s="6"/>
      <c r="G97" s="6"/>
      <c r="H97" s="6"/>
      <c r="I97" s="6"/>
    </row>
    <row r="98" spans="1:9" x14ac:dyDescent="0.35">
      <c r="A98" s="28"/>
      <c r="B98" s="27"/>
      <c r="C98" s="8"/>
      <c r="D98" s="8"/>
      <c r="E98" s="6"/>
      <c r="F98" s="8"/>
      <c r="G98" s="8"/>
      <c r="H98" s="8"/>
      <c r="I98" s="8"/>
    </row>
    <row r="99" spans="1:9" x14ac:dyDescent="0.35">
      <c r="A99" s="1"/>
      <c r="B99" s="3"/>
      <c r="C99" s="67"/>
      <c r="D99" s="67"/>
      <c r="E99" s="6"/>
      <c r="F99" s="67"/>
      <c r="G99" s="67"/>
      <c r="H99" s="67"/>
      <c r="I99" s="67"/>
    </row>
    <row r="100" spans="1:9" x14ac:dyDescent="0.35">
      <c r="A100" s="1"/>
      <c r="B100" s="3"/>
      <c r="C100" s="3"/>
      <c r="D100" s="67"/>
      <c r="E100" s="6"/>
      <c r="F100" s="67"/>
      <c r="G100" s="67"/>
      <c r="H100" s="67"/>
      <c r="I100" s="67"/>
    </row>
  </sheetData>
  <mergeCells count="3">
    <mergeCell ref="I3:K3"/>
    <mergeCell ref="C3:E3"/>
    <mergeCell ref="F3:H3"/>
  </mergeCells>
  <pageMargins left="0.7" right="0.7" top="0.75" bottom="0.75" header="0.3" footer="0.3"/>
  <pageSetup paperSize="9" orientation="landscape" r:id="rId1"/>
  <headerFooter>
    <oddFooter>&amp;C&amp;1#&amp;"Calibri"&amp;10&amp;K000000Schlumberger-Private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265625" defaultRowHeight="14.5" x14ac:dyDescent="0.35"/>
  <sheetData/>
  <pageMargins left="0.7" right="0.7" top="0.75" bottom="0.75" header="0.3" footer="0.3"/>
  <pageSetup orientation="portrait" r:id="rId1"/>
  <headerFooter>
    <oddFooter>&amp;C&amp;1#&amp;"Calibri"&amp;10&amp;K000000Schlumberger-Private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265625" defaultRowHeight="14.5" x14ac:dyDescent="0.35"/>
  <sheetData/>
  <pageMargins left="0.7" right="0.7" top="0.75" bottom="0.75" header="0.3" footer="0.3"/>
  <pageSetup orientation="portrait" r:id="rId1"/>
  <headerFooter>
    <oddFooter>&amp;C&amp;1#&amp;"Calibri"&amp;10&amp;K000000Schlumberger-Private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Ove Stenhagen</dc:creator>
  <cp:lastModifiedBy>Knut Ove Stenhagen</cp:lastModifiedBy>
  <cp:lastPrinted>2018-02-06T20:20:30Z</cp:lastPrinted>
  <dcterms:created xsi:type="dcterms:W3CDTF">2014-02-11T19:13:32Z</dcterms:created>
  <dcterms:modified xsi:type="dcterms:W3CDTF">2021-06-03T19:33:34Z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JoPaulsen@slb.com</vt:lpwstr>
  </property>
  <property fmtid="{D5CDD505-2E9C-101B-9397-08002B2CF9AE}" pid="5" name="MSIP_Label_585f1f62-8d2b-4457-869c-0a13c6549635_SetDate">
    <vt:lpwstr>2021-02-25T08:01:05.6861713Z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ActionId">
    <vt:lpwstr>d418221e-9693-46ae-b9b8-5f71c230af3c</vt:lpwstr>
  </property>
  <property fmtid="{D5CDD505-2E9C-101B-9397-08002B2CF9AE}" pid="9" name="MSIP_Label_585f1f62-8d2b-4457-869c-0a13c6549635_Extended_MSFT_Method">
    <vt:lpwstr>Automatic</vt:lpwstr>
  </property>
  <property fmtid="{D5CDD505-2E9C-101B-9397-08002B2CF9AE}" pid="10" name="MSIP_Label_8bb759f6-5337-4dc5-b19b-e74b6da11f8f_Enabled">
    <vt:lpwstr>True</vt:lpwstr>
  </property>
  <property fmtid="{D5CDD505-2E9C-101B-9397-08002B2CF9AE}" pid="11" name="MSIP_Label_8bb759f6-5337-4dc5-b19b-e74b6da11f8f_SiteId">
    <vt:lpwstr>41ff26dc-250f-4b13-8981-739be8610c21</vt:lpwstr>
  </property>
  <property fmtid="{D5CDD505-2E9C-101B-9397-08002B2CF9AE}" pid="12" name="MSIP_Label_8bb759f6-5337-4dc5-b19b-e74b6da11f8f_Owner">
    <vt:lpwstr>JoPaulsen@slb.com</vt:lpwstr>
  </property>
  <property fmtid="{D5CDD505-2E9C-101B-9397-08002B2CF9AE}" pid="13" name="MSIP_Label_8bb759f6-5337-4dc5-b19b-e74b6da11f8f_SetDate">
    <vt:lpwstr>2021-02-25T08:01:05.6861713Z</vt:lpwstr>
  </property>
  <property fmtid="{D5CDD505-2E9C-101B-9397-08002B2CF9AE}" pid="14" name="MSIP_Label_8bb759f6-5337-4dc5-b19b-e74b6da11f8f_Name">
    <vt:lpwstr>Internal</vt:lpwstr>
  </property>
  <property fmtid="{D5CDD505-2E9C-101B-9397-08002B2CF9AE}" pid="15" name="MSIP_Label_8bb759f6-5337-4dc5-b19b-e74b6da11f8f_Application">
    <vt:lpwstr>Microsoft Azure Information Protection</vt:lpwstr>
  </property>
  <property fmtid="{D5CDD505-2E9C-101B-9397-08002B2CF9AE}" pid="16" name="MSIP_Label_8bb759f6-5337-4dc5-b19b-e74b6da11f8f_ActionId">
    <vt:lpwstr>d418221e-9693-46ae-b9b8-5f71c230af3c</vt:lpwstr>
  </property>
  <property fmtid="{D5CDD505-2E9C-101B-9397-08002B2CF9AE}" pid="17" name="MSIP_Label_8bb759f6-5337-4dc5-b19b-e74b6da11f8f_Parent">
    <vt:lpwstr>585f1f62-8d2b-4457-869c-0a13c6549635</vt:lpwstr>
  </property>
  <property fmtid="{D5CDD505-2E9C-101B-9397-08002B2CF9AE}" pid="18" name="MSIP_Label_8bb759f6-5337-4dc5-b19b-e74b6da11f8f_Extended_MSFT_Method">
    <vt:lpwstr>Automatic</vt:lpwstr>
  </property>
  <property fmtid="{D5CDD505-2E9C-101B-9397-08002B2CF9AE}" pid="19" name="Sensitivity">
    <vt:lpwstr>Private Internal</vt:lpwstr>
  </property>
</Properties>
</file>